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tias\Downloads\"/>
    </mc:Choice>
  </mc:AlternateContent>
  <xr:revisionPtr revIDLastSave="0" documentId="13_ncr:1_{B67C1CED-4078-4E13-A6AE-7D77BEC1CD2F}" xr6:coauthVersionLast="47" xr6:coauthVersionMax="47" xr10:uidLastSave="{00000000-0000-0000-0000-000000000000}"/>
  <bookViews>
    <workbookView xWindow="-108" yWindow="-108" windowWidth="22080" windowHeight="13176" activeTab="2" xr2:uid="{00000000-000D-0000-FFFF-FFFF00000000}"/>
  </bookViews>
  <sheets>
    <sheet name="Sheet1" sheetId="1" r:id="rId1"/>
    <sheet name="Summary" sheetId="2" r:id="rId2"/>
    <sheet name="Dam-Season" sheetId="5" r:id="rId3"/>
  </sheets>
  <definedNames>
    <definedName name="_xlnm._FilterDatabase" localSheetId="0" hidden="1">Sheet1!$A$1:$AA$970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2" i="5" l="1"/>
  <c r="H243" i="5"/>
  <c r="H244" i="5"/>
  <c r="H245" i="5"/>
  <c r="H246" i="5"/>
  <c r="H247" i="5"/>
  <c r="H248" i="5"/>
  <c r="H249" i="5"/>
  <c r="H250" i="5"/>
  <c r="H251" i="5"/>
  <c r="H252" i="5"/>
  <c r="H241" i="5"/>
  <c r="T3" i="5"/>
  <c r="G242" i="5"/>
  <c r="G243" i="5"/>
  <c r="G244" i="5"/>
  <c r="G245" i="5"/>
  <c r="G246" i="5"/>
  <c r="G247" i="5"/>
  <c r="G248" i="5"/>
  <c r="G249" i="5"/>
  <c r="G250" i="5"/>
  <c r="G251" i="5"/>
  <c r="G252" i="5"/>
  <c r="G241" i="5"/>
  <c r="O237" i="5"/>
  <c r="O236" i="5"/>
  <c r="O235" i="5"/>
  <c r="O230" i="5"/>
  <c r="O234" i="5"/>
  <c r="O229" i="5"/>
  <c r="O233" i="5"/>
  <c r="O227" i="5"/>
  <c r="O226" i="5"/>
  <c r="O228" i="5"/>
  <c r="O232" i="5"/>
  <c r="O225" i="5"/>
  <c r="O222" i="5"/>
  <c r="O224" i="5"/>
  <c r="O221" i="5"/>
  <c r="O215" i="5"/>
  <c r="O220" i="5"/>
  <c r="O214" i="5"/>
  <c r="O219" i="5"/>
  <c r="O209" i="5"/>
  <c r="O208" i="5"/>
  <c r="O213" i="5"/>
  <c r="O183" i="5"/>
  <c r="O207" i="5"/>
  <c r="O206" i="5"/>
  <c r="O205" i="5"/>
  <c r="O204" i="5"/>
  <c r="O218" i="5"/>
  <c r="O203" i="5"/>
  <c r="O202" i="5"/>
  <c r="O212" i="5"/>
  <c r="O211" i="5"/>
  <c r="O182" i="5"/>
  <c r="O217" i="5"/>
  <c r="O181" i="5"/>
  <c r="O159" i="5"/>
  <c r="O201" i="5"/>
  <c r="O180" i="5"/>
  <c r="O200" i="5"/>
  <c r="O158" i="5"/>
  <c r="O179" i="5"/>
  <c r="O178" i="5"/>
  <c r="O177" i="5"/>
  <c r="O199" i="5"/>
  <c r="O198" i="5"/>
  <c r="O129" i="5"/>
  <c r="O197" i="5"/>
  <c r="O216" i="5"/>
  <c r="O157" i="5"/>
  <c r="O176" i="5"/>
  <c r="O128" i="5"/>
  <c r="O127" i="5"/>
  <c r="O126" i="5"/>
  <c r="O156" i="5"/>
  <c r="O175" i="5"/>
  <c r="O102" i="5"/>
  <c r="O155" i="5"/>
  <c r="O154" i="5"/>
  <c r="O174" i="5"/>
  <c r="O153" i="5"/>
  <c r="O196" i="5"/>
  <c r="O195" i="5"/>
  <c r="O152" i="5"/>
  <c r="O173" i="5"/>
  <c r="O125" i="5"/>
  <c r="O124" i="5"/>
  <c r="O101" i="5"/>
  <c r="O151" i="5"/>
  <c r="O123" i="5"/>
  <c r="O231" i="5"/>
  <c r="O150" i="5"/>
  <c r="O122" i="5"/>
  <c r="O210" i="5"/>
  <c r="O100" i="5"/>
  <c r="O121" i="5"/>
  <c r="O99" i="5"/>
  <c r="O120" i="5"/>
  <c r="O149" i="5"/>
  <c r="O78" i="5"/>
  <c r="O119" i="5"/>
  <c r="O118" i="5"/>
  <c r="O148" i="5"/>
  <c r="O147" i="5"/>
  <c r="O98" i="5"/>
  <c r="O117" i="5"/>
  <c r="O146" i="5"/>
  <c r="O145" i="5"/>
  <c r="O194" i="5"/>
  <c r="O116" i="5"/>
  <c r="O144" i="5"/>
  <c r="O115" i="5"/>
  <c r="O54" i="5"/>
  <c r="O97" i="5"/>
  <c r="O96" i="5"/>
  <c r="O77" i="5"/>
  <c r="O76" i="5"/>
  <c r="O53" i="5"/>
  <c r="O52" i="5"/>
  <c r="O114" i="5"/>
  <c r="O143" i="5"/>
  <c r="O75" i="5"/>
  <c r="O142" i="5"/>
  <c r="O74" i="5"/>
  <c r="O113" i="5"/>
  <c r="O73" i="5"/>
  <c r="O112" i="5"/>
  <c r="O72" i="5"/>
  <c r="O71" i="5"/>
  <c r="O95" i="5"/>
  <c r="O38" i="5"/>
  <c r="O37" i="5"/>
  <c r="O94" i="5"/>
  <c r="O70" i="5"/>
  <c r="O69" i="5"/>
  <c r="O51" i="5"/>
  <c r="O111" i="5"/>
  <c r="O68" i="5"/>
  <c r="O141" i="5"/>
  <c r="O193" i="5"/>
  <c r="O172" i="5"/>
  <c r="O67" i="5"/>
  <c r="O50" i="5"/>
  <c r="O36" i="5"/>
  <c r="O49" i="5"/>
  <c r="O22" i="5"/>
  <c r="O140" i="5"/>
  <c r="O192" i="5"/>
  <c r="O171" i="5"/>
  <c r="O48" i="5"/>
  <c r="O66" i="5"/>
  <c r="O110" i="5"/>
  <c r="O21" i="5"/>
  <c r="O139" i="5"/>
  <c r="O35" i="5"/>
  <c r="O47" i="5"/>
  <c r="O34" i="5"/>
  <c r="O93" i="5"/>
  <c r="O170" i="5"/>
  <c r="O109" i="5"/>
  <c r="O223" i="5"/>
  <c r="O46" i="5"/>
  <c r="O169" i="5"/>
  <c r="O138" i="5"/>
  <c r="O33" i="5"/>
  <c r="O20" i="5"/>
  <c r="O191" i="5"/>
  <c r="O19" i="5"/>
  <c r="O137" i="5"/>
  <c r="O65" i="5"/>
  <c r="O45" i="5"/>
  <c r="O168" i="5"/>
  <c r="O32" i="5"/>
  <c r="O136" i="5"/>
  <c r="O64" i="5"/>
  <c r="O18" i="5"/>
  <c r="O10" i="5"/>
  <c r="O167" i="5"/>
  <c r="O17" i="5"/>
  <c r="O31" i="5"/>
  <c r="O44" i="5"/>
  <c r="O166" i="5"/>
  <c r="O165" i="5"/>
  <c r="O30" i="5"/>
  <c r="O190" i="5"/>
  <c r="O16" i="5"/>
  <c r="O92" i="5"/>
  <c r="O135" i="5"/>
  <c r="O164" i="5"/>
  <c r="O29" i="5"/>
  <c r="O43" i="5"/>
  <c r="O163" i="5"/>
  <c r="O108" i="5"/>
  <c r="O189" i="5"/>
  <c r="O15" i="5"/>
  <c r="O134" i="5"/>
  <c r="O188" i="5"/>
  <c r="O187" i="5"/>
  <c r="O107" i="5"/>
  <c r="O14" i="5"/>
  <c r="O13" i="5"/>
  <c r="O91" i="5"/>
  <c r="O90" i="5"/>
  <c r="O133" i="5"/>
  <c r="O9" i="5"/>
  <c r="O106" i="5"/>
  <c r="O186" i="5"/>
  <c r="O162" i="5"/>
  <c r="O42" i="5"/>
  <c r="O89" i="5"/>
  <c r="O132" i="5"/>
  <c r="O105" i="5"/>
  <c r="O131" i="5"/>
  <c r="O185" i="5"/>
  <c r="O130" i="5"/>
  <c r="O63" i="5"/>
  <c r="O161" i="5"/>
  <c r="O88" i="5"/>
  <c r="O87" i="5"/>
  <c r="O104" i="5"/>
  <c r="O86" i="5"/>
  <c r="O85" i="5"/>
  <c r="O84" i="5"/>
  <c r="O41" i="5"/>
  <c r="O103" i="5"/>
  <c r="O40" i="5"/>
  <c r="O28" i="5"/>
  <c r="O62" i="5"/>
  <c r="O83" i="5"/>
  <c r="O184" i="5"/>
  <c r="O82" i="5"/>
  <c r="O81" i="5"/>
  <c r="O61" i="5"/>
  <c r="O80" i="5"/>
  <c r="O27" i="5"/>
  <c r="O8" i="5"/>
  <c r="O60" i="5"/>
  <c r="O59" i="5"/>
  <c r="O7" i="5"/>
  <c r="O6" i="5"/>
  <c r="O160" i="5"/>
  <c r="O39" i="5"/>
  <c r="O5" i="5"/>
  <c r="O58" i="5"/>
  <c r="O57" i="5"/>
  <c r="O56" i="5"/>
  <c r="O55" i="5"/>
  <c r="O26" i="5"/>
  <c r="O4" i="5"/>
  <c r="O25" i="5"/>
  <c r="O3" i="5"/>
  <c r="O79" i="5"/>
  <c r="O12" i="5"/>
  <c r="O24" i="5"/>
  <c r="N24" i="5" s="1"/>
  <c r="O11" i="5"/>
  <c r="O23" i="5"/>
  <c r="P23" i="5"/>
  <c r="P11" i="5"/>
  <c r="P24" i="5"/>
  <c r="P12" i="5"/>
  <c r="P79" i="5"/>
  <c r="P3" i="5"/>
  <c r="P25" i="5"/>
  <c r="P4" i="5"/>
  <c r="P26" i="5"/>
  <c r="P55" i="5"/>
  <c r="P56" i="5"/>
  <c r="P57" i="5"/>
  <c r="P58" i="5"/>
  <c r="P5" i="5"/>
  <c r="P39" i="5"/>
  <c r="P160" i="5"/>
  <c r="P6" i="5"/>
  <c r="P7" i="5"/>
  <c r="P59" i="5"/>
  <c r="P60" i="5"/>
  <c r="P8" i="5"/>
  <c r="P27" i="5"/>
  <c r="P80" i="5"/>
  <c r="P61" i="5"/>
  <c r="P81" i="5"/>
  <c r="P82" i="5"/>
  <c r="P184" i="5"/>
  <c r="P83" i="5"/>
  <c r="P62" i="5"/>
  <c r="P28" i="5"/>
  <c r="P40" i="5"/>
  <c r="P103" i="5"/>
  <c r="P41" i="5"/>
  <c r="P84" i="5"/>
  <c r="P85" i="5"/>
  <c r="P86" i="5"/>
  <c r="P104" i="5"/>
  <c r="P87" i="5"/>
  <c r="P88" i="5"/>
  <c r="P161" i="5"/>
  <c r="P63" i="5"/>
  <c r="P130" i="5"/>
  <c r="P185" i="5"/>
  <c r="P131" i="5"/>
  <c r="P105" i="5"/>
  <c r="P132" i="5"/>
  <c r="P89" i="5"/>
  <c r="P42" i="5"/>
  <c r="P162" i="5"/>
  <c r="P186" i="5"/>
  <c r="P106" i="5"/>
  <c r="P9" i="5"/>
  <c r="P133" i="5"/>
  <c r="P90" i="5"/>
  <c r="P91" i="5"/>
  <c r="P13" i="5"/>
  <c r="P14" i="5"/>
  <c r="P107" i="5"/>
  <c r="P187" i="5"/>
  <c r="P188" i="5"/>
  <c r="P134" i="5"/>
  <c r="P15" i="5"/>
  <c r="P189" i="5"/>
  <c r="P108" i="5"/>
  <c r="P163" i="5"/>
  <c r="P43" i="5"/>
  <c r="P29" i="5"/>
  <c r="P164" i="5"/>
  <c r="P135" i="5"/>
  <c r="P92" i="5"/>
  <c r="P16" i="5"/>
  <c r="P190" i="5"/>
  <c r="P30" i="5"/>
  <c r="P165" i="5"/>
  <c r="P166" i="5"/>
  <c r="P44" i="5"/>
  <c r="P31" i="5"/>
  <c r="P17" i="5"/>
  <c r="P167" i="5"/>
  <c r="P10" i="5"/>
  <c r="P18" i="5"/>
  <c r="P64" i="5"/>
  <c r="P136" i="5"/>
  <c r="P32" i="5"/>
  <c r="P168" i="5"/>
  <c r="P45" i="5"/>
  <c r="P65" i="5"/>
  <c r="P137" i="5"/>
  <c r="P19" i="5"/>
  <c r="P191" i="5"/>
  <c r="P20" i="5"/>
  <c r="P33" i="5"/>
  <c r="P138" i="5"/>
  <c r="P169" i="5"/>
  <c r="P46" i="5"/>
  <c r="P223" i="5"/>
  <c r="P109" i="5"/>
  <c r="P170" i="5"/>
  <c r="P93" i="5"/>
  <c r="P34" i="5"/>
  <c r="P47" i="5"/>
  <c r="P35" i="5"/>
  <c r="P139" i="5"/>
  <c r="P21" i="5"/>
  <c r="P110" i="5"/>
  <c r="P66" i="5"/>
  <c r="P48" i="5"/>
  <c r="P171" i="5"/>
  <c r="P192" i="5"/>
  <c r="P140" i="5"/>
  <c r="P22" i="5"/>
  <c r="P49" i="5"/>
  <c r="P36" i="5"/>
  <c r="P50" i="5"/>
  <c r="P67" i="5"/>
  <c r="P172" i="5"/>
  <c r="P193" i="5"/>
  <c r="P141" i="5"/>
  <c r="P68" i="5"/>
  <c r="P111" i="5"/>
  <c r="P51" i="5"/>
  <c r="P69" i="5"/>
  <c r="P70" i="5"/>
  <c r="P94" i="5"/>
  <c r="P37" i="5"/>
  <c r="P38" i="5"/>
  <c r="P95" i="5"/>
  <c r="P71" i="5"/>
  <c r="P72" i="5"/>
  <c r="P112" i="5"/>
  <c r="P73" i="5"/>
  <c r="P113" i="5"/>
  <c r="P74" i="5"/>
  <c r="P142" i="5"/>
  <c r="P75" i="5"/>
  <c r="P143" i="5"/>
  <c r="P114" i="5"/>
  <c r="P52" i="5"/>
  <c r="P53" i="5"/>
  <c r="P76" i="5"/>
  <c r="P77" i="5"/>
  <c r="P96" i="5"/>
  <c r="P97" i="5"/>
  <c r="P54" i="5"/>
  <c r="P115" i="5"/>
  <c r="P144" i="5"/>
  <c r="P116" i="5"/>
  <c r="P194" i="5"/>
  <c r="P145" i="5"/>
  <c r="P146" i="5"/>
  <c r="P117" i="5"/>
  <c r="P98" i="5"/>
  <c r="P147" i="5"/>
  <c r="P148" i="5"/>
  <c r="P118" i="5"/>
  <c r="P119" i="5"/>
  <c r="P78" i="5"/>
  <c r="P149" i="5"/>
  <c r="P120" i="5"/>
  <c r="P99" i="5"/>
  <c r="P121" i="5"/>
  <c r="P100" i="5"/>
  <c r="P210" i="5"/>
  <c r="P122" i="5"/>
  <c r="P150" i="5"/>
  <c r="P231" i="5"/>
  <c r="P123" i="5"/>
  <c r="P151" i="5"/>
  <c r="P101" i="5"/>
  <c r="P124" i="5"/>
  <c r="P125" i="5"/>
  <c r="P173" i="5"/>
  <c r="P152" i="5"/>
  <c r="P195" i="5"/>
  <c r="P196" i="5"/>
  <c r="P153" i="5"/>
  <c r="P174" i="5"/>
  <c r="P154" i="5"/>
  <c r="P155" i="5"/>
  <c r="P102" i="5"/>
  <c r="P175" i="5"/>
  <c r="P156" i="5"/>
  <c r="P126" i="5"/>
  <c r="P127" i="5"/>
  <c r="P128" i="5"/>
  <c r="P176" i="5"/>
  <c r="P157" i="5"/>
  <c r="P216" i="5"/>
  <c r="P197" i="5"/>
  <c r="P129" i="5"/>
  <c r="P198" i="5"/>
  <c r="P199" i="5"/>
  <c r="P177" i="5"/>
  <c r="P178" i="5"/>
  <c r="P179" i="5"/>
  <c r="P158" i="5"/>
  <c r="P200" i="5"/>
  <c r="P180" i="5"/>
  <c r="P201" i="5"/>
  <c r="P159" i="5"/>
  <c r="P181" i="5"/>
  <c r="P217" i="5"/>
  <c r="P182" i="5"/>
  <c r="P211" i="5"/>
  <c r="P212" i="5"/>
  <c r="P202" i="5"/>
  <c r="P203" i="5"/>
  <c r="P218" i="5"/>
  <c r="P204" i="5"/>
  <c r="P205" i="5"/>
  <c r="P206" i="5"/>
  <c r="P207" i="5"/>
  <c r="P183" i="5"/>
  <c r="P213" i="5"/>
  <c r="P208" i="5"/>
  <c r="P209" i="5"/>
  <c r="P219" i="5"/>
  <c r="P214" i="5"/>
  <c r="P220" i="5"/>
  <c r="P215" i="5"/>
  <c r="P221" i="5"/>
  <c r="P224" i="5"/>
  <c r="P222" i="5"/>
  <c r="P225" i="5"/>
  <c r="P232" i="5"/>
  <c r="P228" i="5"/>
  <c r="P226" i="5"/>
  <c r="P227" i="5"/>
  <c r="P233" i="5"/>
  <c r="P229" i="5"/>
  <c r="P234" i="5"/>
  <c r="P230" i="5"/>
  <c r="P235" i="5"/>
  <c r="P236" i="5"/>
  <c r="P237" i="5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2" i="1"/>
  <c r="Q5" i="5"/>
  <c r="M24" i="5"/>
  <c r="M12" i="5"/>
  <c r="M59" i="5"/>
  <c r="M60" i="5"/>
  <c r="M85" i="5"/>
  <c r="M86" i="5"/>
  <c r="M106" i="5"/>
  <c r="M9" i="5"/>
  <c r="M29" i="5"/>
  <c r="M164" i="5"/>
  <c r="M136" i="5"/>
  <c r="M32" i="5"/>
  <c r="M93" i="5"/>
  <c r="M34" i="5"/>
  <c r="M67" i="5"/>
  <c r="M172" i="5"/>
  <c r="M73" i="5"/>
  <c r="M113" i="5"/>
  <c r="M116" i="5"/>
  <c r="M194" i="5"/>
  <c r="M149" i="5"/>
  <c r="M210" i="5"/>
  <c r="M122" i="5"/>
  <c r="M195" i="5"/>
  <c r="M155" i="5"/>
  <c r="M102" i="5"/>
  <c r="M129" i="5"/>
  <c r="M179" i="5"/>
  <c r="M158" i="5"/>
  <c r="M202" i="5"/>
  <c r="M206" i="5"/>
  <c r="M207" i="5"/>
  <c r="M224" i="5"/>
  <c r="M226" i="5"/>
  <c r="M227" i="5"/>
  <c r="M235" i="5"/>
  <c r="M237" i="5"/>
  <c r="L237" i="5"/>
  <c r="L236" i="5"/>
  <c r="L235" i="5"/>
  <c r="L230" i="5"/>
  <c r="L234" i="5"/>
  <c r="L229" i="5"/>
  <c r="L233" i="5"/>
  <c r="L227" i="5"/>
  <c r="L226" i="5"/>
  <c r="L228" i="5"/>
  <c r="L232" i="5"/>
  <c r="L225" i="5"/>
  <c r="L222" i="5"/>
  <c r="L224" i="5"/>
  <c r="L221" i="5"/>
  <c r="L215" i="5"/>
  <c r="L220" i="5"/>
  <c r="L214" i="5"/>
  <c r="L219" i="5"/>
  <c r="L209" i="5"/>
  <c r="L208" i="5"/>
  <c r="L213" i="5"/>
  <c r="L183" i="5"/>
  <c r="L207" i="5"/>
  <c r="L206" i="5"/>
  <c r="L205" i="5"/>
  <c r="L204" i="5"/>
  <c r="L218" i="5"/>
  <c r="L203" i="5"/>
  <c r="L202" i="5"/>
  <c r="L212" i="5"/>
  <c r="L211" i="5"/>
  <c r="L182" i="5"/>
  <c r="L217" i="5"/>
  <c r="L181" i="5"/>
  <c r="L159" i="5"/>
  <c r="L201" i="5"/>
  <c r="L180" i="5"/>
  <c r="L200" i="5"/>
  <c r="L158" i="5"/>
  <c r="L179" i="5"/>
  <c r="L178" i="5"/>
  <c r="L177" i="5"/>
  <c r="L199" i="5"/>
  <c r="L198" i="5"/>
  <c r="L129" i="5"/>
  <c r="L197" i="5"/>
  <c r="L216" i="5"/>
  <c r="L157" i="5"/>
  <c r="L176" i="5"/>
  <c r="L128" i="5"/>
  <c r="L127" i="5"/>
  <c r="L126" i="5"/>
  <c r="L156" i="5"/>
  <c r="L175" i="5"/>
  <c r="L102" i="5"/>
  <c r="L155" i="5"/>
  <c r="L154" i="5"/>
  <c r="L174" i="5"/>
  <c r="L153" i="5"/>
  <c r="L196" i="5"/>
  <c r="L195" i="5"/>
  <c r="L152" i="5"/>
  <c r="L173" i="5"/>
  <c r="L125" i="5"/>
  <c r="L124" i="5"/>
  <c r="L101" i="5"/>
  <c r="L151" i="5"/>
  <c r="L123" i="5"/>
  <c r="L231" i="5"/>
  <c r="L150" i="5"/>
  <c r="L122" i="5"/>
  <c r="L210" i="5"/>
  <c r="L100" i="5"/>
  <c r="L121" i="5"/>
  <c r="L99" i="5"/>
  <c r="L120" i="5"/>
  <c r="L149" i="5"/>
  <c r="L78" i="5"/>
  <c r="L119" i="5"/>
  <c r="L118" i="5"/>
  <c r="L148" i="5"/>
  <c r="L147" i="5"/>
  <c r="L98" i="5"/>
  <c r="L117" i="5"/>
  <c r="L146" i="5"/>
  <c r="L145" i="5"/>
  <c r="L194" i="5"/>
  <c r="L116" i="5"/>
  <c r="L144" i="5"/>
  <c r="L115" i="5"/>
  <c r="L54" i="5"/>
  <c r="L97" i="5"/>
  <c r="L96" i="5"/>
  <c r="L77" i="5"/>
  <c r="L76" i="5"/>
  <c r="L53" i="5"/>
  <c r="L52" i="5"/>
  <c r="L114" i="5"/>
  <c r="L143" i="5"/>
  <c r="L75" i="5"/>
  <c r="L142" i="5"/>
  <c r="L74" i="5"/>
  <c r="L113" i="5"/>
  <c r="L73" i="5"/>
  <c r="L112" i="5"/>
  <c r="L72" i="5"/>
  <c r="L71" i="5"/>
  <c r="L95" i="5"/>
  <c r="L38" i="5"/>
  <c r="L37" i="5"/>
  <c r="L94" i="5"/>
  <c r="L70" i="5"/>
  <c r="L69" i="5"/>
  <c r="L51" i="5"/>
  <c r="L111" i="5"/>
  <c r="L68" i="5"/>
  <c r="L141" i="5"/>
  <c r="L193" i="5"/>
  <c r="L172" i="5"/>
  <c r="L67" i="5"/>
  <c r="L50" i="5"/>
  <c r="L36" i="5"/>
  <c r="L49" i="5"/>
  <c r="L22" i="5"/>
  <c r="L140" i="5"/>
  <c r="L192" i="5"/>
  <c r="L171" i="5"/>
  <c r="L48" i="5"/>
  <c r="L66" i="5"/>
  <c r="L110" i="5"/>
  <c r="L21" i="5"/>
  <c r="L139" i="5"/>
  <c r="L35" i="5"/>
  <c r="L47" i="5"/>
  <c r="L34" i="5"/>
  <c r="L93" i="5"/>
  <c r="L170" i="5"/>
  <c r="L109" i="5"/>
  <c r="L223" i="5"/>
  <c r="L46" i="5"/>
  <c r="L169" i="5"/>
  <c r="L138" i="5"/>
  <c r="L33" i="5"/>
  <c r="L20" i="5"/>
  <c r="L191" i="5"/>
  <c r="L19" i="5"/>
  <c r="L137" i="5"/>
  <c r="L65" i="5"/>
  <c r="L45" i="5"/>
  <c r="L168" i="5"/>
  <c r="L32" i="5"/>
  <c r="L136" i="5"/>
  <c r="L64" i="5"/>
  <c r="L18" i="5"/>
  <c r="L10" i="5"/>
  <c r="L167" i="5"/>
  <c r="L17" i="5"/>
  <c r="L31" i="5"/>
  <c r="L44" i="5"/>
  <c r="L166" i="5"/>
  <c r="L165" i="5"/>
  <c r="L30" i="5"/>
  <c r="L190" i="5"/>
  <c r="L16" i="5"/>
  <c r="L92" i="5"/>
  <c r="L135" i="5"/>
  <c r="L164" i="5"/>
  <c r="L29" i="5"/>
  <c r="L43" i="5"/>
  <c r="L163" i="5"/>
  <c r="L108" i="5"/>
  <c r="L189" i="5"/>
  <c r="L15" i="5"/>
  <c r="L134" i="5"/>
  <c r="L188" i="5"/>
  <c r="L187" i="5"/>
  <c r="L107" i="5"/>
  <c r="L14" i="5"/>
  <c r="L13" i="5"/>
  <c r="L91" i="5"/>
  <c r="L90" i="5"/>
  <c r="L133" i="5"/>
  <c r="L9" i="5"/>
  <c r="L106" i="5"/>
  <c r="L186" i="5"/>
  <c r="L162" i="5"/>
  <c r="L42" i="5"/>
  <c r="L89" i="5"/>
  <c r="L132" i="5"/>
  <c r="L105" i="5"/>
  <c r="L131" i="5"/>
  <c r="L185" i="5"/>
  <c r="L130" i="5"/>
  <c r="L63" i="5"/>
  <c r="L161" i="5"/>
  <c r="L88" i="5"/>
  <c r="L87" i="5"/>
  <c r="L104" i="5"/>
  <c r="L86" i="5"/>
  <c r="L85" i="5"/>
  <c r="L84" i="5"/>
  <c r="L41" i="5"/>
  <c r="L103" i="5"/>
  <c r="L40" i="5"/>
  <c r="L28" i="5"/>
  <c r="L62" i="5"/>
  <c r="L83" i="5"/>
  <c r="L184" i="5"/>
  <c r="L82" i="5"/>
  <c r="L81" i="5"/>
  <c r="L61" i="5"/>
  <c r="L80" i="5"/>
  <c r="L27" i="5"/>
  <c r="L8" i="5"/>
  <c r="L60" i="5"/>
  <c r="L59" i="5"/>
  <c r="L7" i="5"/>
  <c r="L6" i="5"/>
  <c r="L160" i="5"/>
  <c r="L39" i="5"/>
  <c r="L5" i="5"/>
  <c r="L58" i="5"/>
  <c r="L57" i="5"/>
  <c r="L56" i="5"/>
  <c r="L55" i="5"/>
  <c r="L26" i="5"/>
  <c r="L4" i="5"/>
  <c r="L25" i="5"/>
  <c r="L3" i="5"/>
  <c r="L79" i="5"/>
  <c r="L12" i="5"/>
  <c r="L24" i="5"/>
  <c r="L11" i="5"/>
  <c r="L23" i="5"/>
  <c r="K23" i="5"/>
  <c r="K11" i="5"/>
  <c r="K24" i="5"/>
  <c r="K12" i="5"/>
  <c r="K79" i="5"/>
  <c r="K3" i="5"/>
  <c r="K25" i="5"/>
  <c r="K4" i="5"/>
  <c r="K26" i="5"/>
  <c r="K55" i="5"/>
  <c r="K56" i="5"/>
  <c r="K57" i="5"/>
  <c r="K58" i="5"/>
  <c r="K5" i="5"/>
  <c r="K39" i="5"/>
  <c r="K160" i="5"/>
  <c r="K6" i="5"/>
  <c r="K7" i="5"/>
  <c r="K59" i="5"/>
  <c r="K60" i="5"/>
  <c r="K8" i="5"/>
  <c r="K27" i="5"/>
  <c r="K80" i="5"/>
  <c r="K61" i="5"/>
  <c r="K81" i="5"/>
  <c r="K82" i="5"/>
  <c r="K184" i="5"/>
  <c r="K83" i="5"/>
  <c r="K62" i="5"/>
  <c r="K28" i="5"/>
  <c r="K40" i="5"/>
  <c r="K103" i="5"/>
  <c r="K41" i="5"/>
  <c r="K84" i="5"/>
  <c r="K85" i="5"/>
  <c r="K86" i="5"/>
  <c r="K104" i="5"/>
  <c r="K87" i="5"/>
  <c r="K88" i="5"/>
  <c r="K161" i="5"/>
  <c r="K63" i="5"/>
  <c r="K130" i="5"/>
  <c r="K185" i="5"/>
  <c r="K131" i="5"/>
  <c r="K105" i="5"/>
  <c r="K132" i="5"/>
  <c r="K89" i="5"/>
  <c r="K42" i="5"/>
  <c r="K162" i="5"/>
  <c r="K186" i="5"/>
  <c r="K106" i="5"/>
  <c r="K9" i="5"/>
  <c r="K133" i="5"/>
  <c r="K90" i="5"/>
  <c r="K91" i="5"/>
  <c r="K13" i="5"/>
  <c r="K14" i="5"/>
  <c r="K107" i="5"/>
  <c r="K187" i="5"/>
  <c r="K188" i="5"/>
  <c r="K134" i="5"/>
  <c r="K15" i="5"/>
  <c r="K189" i="5"/>
  <c r="K108" i="5"/>
  <c r="K163" i="5"/>
  <c r="K43" i="5"/>
  <c r="K29" i="5"/>
  <c r="K164" i="5"/>
  <c r="K135" i="5"/>
  <c r="K92" i="5"/>
  <c r="K16" i="5"/>
  <c r="K190" i="5"/>
  <c r="K30" i="5"/>
  <c r="K165" i="5"/>
  <c r="K166" i="5"/>
  <c r="K44" i="5"/>
  <c r="K31" i="5"/>
  <c r="K17" i="5"/>
  <c r="K167" i="5"/>
  <c r="K10" i="5"/>
  <c r="K18" i="5"/>
  <c r="K64" i="5"/>
  <c r="K136" i="5"/>
  <c r="K32" i="5"/>
  <c r="K168" i="5"/>
  <c r="K45" i="5"/>
  <c r="K65" i="5"/>
  <c r="K137" i="5"/>
  <c r="K19" i="5"/>
  <c r="K191" i="5"/>
  <c r="K20" i="5"/>
  <c r="K33" i="5"/>
  <c r="K138" i="5"/>
  <c r="K169" i="5"/>
  <c r="K46" i="5"/>
  <c r="K223" i="5"/>
  <c r="K109" i="5"/>
  <c r="K170" i="5"/>
  <c r="K93" i="5"/>
  <c r="K34" i="5"/>
  <c r="K47" i="5"/>
  <c r="K35" i="5"/>
  <c r="K139" i="5"/>
  <c r="K21" i="5"/>
  <c r="K110" i="5"/>
  <c r="K66" i="5"/>
  <c r="K48" i="5"/>
  <c r="K171" i="5"/>
  <c r="K192" i="5"/>
  <c r="K140" i="5"/>
  <c r="K22" i="5"/>
  <c r="K49" i="5"/>
  <c r="K36" i="5"/>
  <c r="K50" i="5"/>
  <c r="K67" i="5"/>
  <c r="K172" i="5"/>
  <c r="K193" i="5"/>
  <c r="K141" i="5"/>
  <c r="K68" i="5"/>
  <c r="K111" i="5"/>
  <c r="K51" i="5"/>
  <c r="K69" i="5"/>
  <c r="K70" i="5"/>
  <c r="K94" i="5"/>
  <c r="K37" i="5"/>
  <c r="K38" i="5"/>
  <c r="K95" i="5"/>
  <c r="K71" i="5"/>
  <c r="K72" i="5"/>
  <c r="K112" i="5"/>
  <c r="K73" i="5"/>
  <c r="K113" i="5"/>
  <c r="K74" i="5"/>
  <c r="K142" i="5"/>
  <c r="K75" i="5"/>
  <c r="K143" i="5"/>
  <c r="K114" i="5"/>
  <c r="K52" i="5"/>
  <c r="K53" i="5"/>
  <c r="K76" i="5"/>
  <c r="K77" i="5"/>
  <c r="K96" i="5"/>
  <c r="K97" i="5"/>
  <c r="K54" i="5"/>
  <c r="K115" i="5"/>
  <c r="K144" i="5"/>
  <c r="K116" i="5"/>
  <c r="K194" i="5"/>
  <c r="K145" i="5"/>
  <c r="K146" i="5"/>
  <c r="K117" i="5"/>
  <c r="K98" i="5"/>
  <c r="K147" i="5"/>
  <c r="K148" i="5"/>
  <c r="K118" i="5"/>
  <c r="K119" i="5"/>
  <c r="K78" i="5"/>
  <c r="K149" i="5"/>
  <c r="K120" i="5"/>
  <c r="K99" i="5"/>
  <c r="K121" i="5"/>
  <c r="K100" i="5"/>
  <c r="K210" i="5"/>
  <c r="K122" i="5"/>
  <c r="K150" i="5"/>
  <c r="K231" i="5"/>
  <c r="K123" i="5"/>
  <c r="K151" i="5"/>
  <c r="K101" i="5"/>
  <c r="K124" i="5"/>
  <c r="K125" i="5"/>
  <c r="K173" i="5"/>
  <c r="K152" i="5"/>
  <c r="K195" i="5"/>
  <c r="K196" i="5"/>
  <c r="K153" i="5"/>
  <c r="K174" i="5"/>
  <c r="K154" i="5"/>
  <c r="K155" i="5"/>
  <c r="K102" i="5"/>
  <c r="K175" i="5"/>
  <c r="K156" i="5"/>
  <c r="K126" i="5"/>
  <c r="K127" i="5"/>
  <c r="K128" i="5"/>
  <c r="K176" i="5"/>
  <c r="K157" i="5"/>
  <c r="K216" i="5"/>
  <c r="K197" i="5"/>
  <c r="K129" i="5"/>
  <c r="K198" i="5"/>
  <c r="K199" i="5"/>
  <c r="K177" i="5"/>
  <c r="K178" i="5"/>
  <c r="K179" i="5"/>
  <c r="K158" i="5"/>
  <c r="K200" i="5"/>
  <c r="K180" i="5"/>
  <c r="K201" i="5"/>
  <c r="K159" i="5"/>
  <c r="K181" i="5"/>
  <c r="K217" i="5"/>
  <c r="K182" i="5"/>
  <c r="K211" i="5"/>
  <c r="K212" i="5"/>
  <c r="K202" i="5"/>
  <c r="K203" i="5"/>
  <c r="K218" i="5"/>
  <c r="K204" i="5"/>
  <c r="K205" i="5"/>
  <c r="K206" i="5"/>
  <c r="K207" i="5"/>
  <c r="K183" i="5"/>
  <c r="K213" i="5"/>
  <c r="K208" i="5"/>
  <c r="K209" i="5"/>
  <c r="K219" i="5"/>
  <c r="K214" i="5"/>
  <c r="K220" i="5"/>
  <c r="K215" i="5"/>
  <c r="K221" i="5"/>
  <c r="K224" i="5"/>
  <c r="K222" i="5"/>
  <c r="K225" i="5"/>
  <c r="K232" i="5"/>
  <c r="K228" i="5"/>
  <c r="K226" i="5"/>
  <c r="K227" i="5"/>
  <c r="K233" i="5"/>
  <c r="K229" i="5"/>
  <c r="K234" i="5"/>
  <c r="K230" i="5"/>
  <c r="K235" i="5"/>
  <c r="K236" i="5"/>
  <c r="K237" i="5"/>
  <c r="J23" i="5"/>
  <c r="J11" i="5"/>
  <c r="J24" i="5"/>
  <c r="J12" i="5"/>
  <c r="J79" i="5"/>
  <c r="J3" i="5"/>
  <c r="J25" i="5"/>
  <c r="J4" i="5"/>
  <c r="J26" i="5"/>
  <c r="J55" i="5"/>
  <c r="J56" i="5"/>
  <c r="J57" i="5"/>
  <c r="J58" i="5"/>
  <c r="J5" i="5"/>
  <c r="J39" i="5"/>
  <c r="J160" i="5"/>
  <c r="J6" i="5"/>
  <c r="J7" i="5"/>
  <c r="J59" i="5"/>
  <c r="J60" i="5"/>
  <c r="J8" i="5"/>
  <c r="J27" i="5"/>
  <c r="J80" i="5"/>
  <c r="J61" i="5"/>
  <c r="J81" i="5"/>
  <c r="J82" i="5"/>
  <c r="J184" i="5"/>
  <c r="J83" i="5"/>
  <c r="J62" i="5"/>
  <c r="J28" i="5"/>
  <c r="J40" i="5"/>
  <c r="J103" i="5"/>
  <c r="J41" i="5"/>
  <c r="J84" i="5"/>
  <c r="J85" i="5"/>
  <c r="J86" i="5"/>
  <c r="J104" i="5"/>
  <c r="J87" i="5"/>
  <c r="J88" i="5"/>
  <c r="J161" i="5"/>
  <c r="J63" i="5"/>
  <c r="J130" i="5"/>
  <c r="J185" i="5"/>
  <c r="J131" i="5"/>
  <c r="J105" i="5"/>
  <c r="J132" i="5"/>
  <c r="J89" i="5"/>
  <c r="J42" i="5"/>
  <c r="J162" i="5"/>
  <c r="J186" i="5"/>
  <c r="J106" i="5"/>
  <c r="J9" i="5"/>
  <c r="J133" i="5"/>
  <c r="J90" i="5"/>
  <c r="J91" i="5"/>
  <c r="J13" i="5"/>
  <c r="J14" i="5"/>
  <c r="J107" i="5"/>
  <c r="J187" i="5"/>
  <c r="J188" i="5"/>
  <c r="J134" i="5"/>
  <c r="J15" i="5"/>
  <c r="J189" i="5"/>
  <c r="J108" i="5"/>
  <c r="J163" i="5"/>
  <c r="J43" i="5"/>
  <c r="J29" i="5"/>
  <c r="J164" i="5"/>
  <c r="J135" i="5"/>
  <c r="J92" i="5"/>
  <c r="J16" i="5"/>
  <c r="J190" i="5"/>
  <c r="J30" i="5"/>
  <c r="J165" i="5"/>
  <c r="J166" i="5"/>
  <c r="J44" i="5"/>
  <c r="J31" i="5"/>
  <c r="J17" i="5"/>
  <c r="J167" i="5"/>
  <c r="J10" i="5"/>
  <c r="J18" i="5"/>
  <c r="J64" i="5"/>
  <c r="J136" i="5"/>
  <c r="J32" i="5"/>
  <c r="J168" i="5"/>
  <c r="J45" i="5"/>
  <c r="J65" i="5"/>
  <c r="J137" i="5"/>
  <c r="J19" i="5"/>
  <c r="J191" i="5"/>
  <c r="J20" i="5"/>
  <c r="J33" i="5"/>
  <c r="J138" i="5"/>
  <c r="J169" i="5"/>
  <c r="J46" i="5"/>
  <c r="J223" i="5"/>
  <c r="J109" i="5"/>
  <c r="J170" i="5"/>
  <c r="J93" i="5"/>
  <c r="J34" i="5"/>
  <c r="J47" i="5"/>
  <c r="J35" i="5"/>
  <c r="J139" i="5"/>
  <c r="J21" i="5"/>
  <c r="J110" i="5"/>
  <c r="J66" i="5"/>
  <c r="J48" i="5"/>
  <c r="J171" i="5"/>
  <c r="J192" i="5"/>
  <c r="J140" i="5"/>
  <c r="J22" i="5"/>
  <c r="J49" i="5"/>
  <c r="J36" i="5"/>
  <c r="J50" i="5"/>
  <c r="J67" i="5"/>
  <c r="J172" i="5"/>
  <c r="J193" i="5"/>
  <c r="J141" i="5"/>
  <c r="J68" i="5"/>
  <c r="J111" i="5"/>
  <c r="J51" i="5"/>
  <c r="J69" i="5"/>
  <c r="J70" i="5"/>
  <c r="J94" i="5"/>
  <c r="J37" i="5"/>
  <c r="J38" i="5"/>
  <c r="J95" i="5"/>
  <c r="J71" i="5"/>
  <c r="J72" i="5"/>
  <c r="J112" i="5"/>
  <c r="J73" i="5"/>
  <c r="J113" i="5"/>
  <c r="J74" i="5"/>
  <c r="J142" i="5"/>
  <c r="J75" i="5"/>
  <c r="J143" i="5"/>
  <c r="J114" i="5"/>
  <c r="J52" i="5"/>
  <c r="J53" i="5"/>
  <c r="J76" i="5"/>
  <c r="J77" i="5"/>
  <c r="J96" i="5"/>
  <c r="J97" i="5"/>
  <c r="J54" i="5"/>
  <c r="J115" i="5"/>
  <c r="J144" i="5"/>
  <c r="J116" i="5"/>
  <c r="J194" i="5"/>
  <c r="J145" i="5"/>
  <c r="J146" i="5"/>
  <c r="J117" i="5"/>
  <c r="J98" i="5"/>
  <c r="J147" i="5"/>
  <c r="J148" i="5"/>
  <c r="J118" i="5"/>
  <c r="J119" i="5"/>
  <c r="J78" i="5"/>
  <c r="J149" i="5"/>
  <c r="J120" i="5"/>
  <c r="J99" i="5"/>
  <c r="J121" i="5"/>
  <c r="J100" i="5"/>
  <c r="J210" i="5"/>
  <c r="J122" i="5"/>
  <c r="J150" i="5"/>
  <c r="J231" i="5"/>
  <c r="J123" i="5"/>
  <c r="J151" i="5"/>
  <c r="J101" i="5"/>
  <c r="J124" i="5"/>
  <c r="J125" i="5"/>
  <c r="J173" i="5"/>
  <c r="J152" i="5"/>
  <c r="J195" i="5"/>
  <c r="J196" i="5"/>
  <c r="J153" i="5"/>
  <c r="J174" i="5"/>
  <c r="J154" i="5"/>
  <c r="J155" i="5"/>
  <c r="J102" i="5"/>
  <c r="J175" i="5"/>
  <c r="J156" i="5"/>
  <c r="J126" i="5"/>
  <c r="J127" i="5"/>
  <c r="J128" i="5"/>
  <c r="J176" i="5"/>
  <c r="J157" i="5"/>
  <c r="J216" i="5"/>
  <c r="J197" i="5"/>
  <c r="J129" i="5"/>
  <c r="J198" i="5"/>
  <c r="J199" i="5"/>
  <c r="J177" i="5"/>
  <c r="J178" i="5"/>
  <c r="J179" i="5"/>
  <c r="J158" i="5"/>
  <c r="J200" i="5"/>
  <c r="J180" i="5"/>
  <c r="J201" i="5"/>
  <c r="J159" i="5"/>
  <c r="J181" i="5"/>
  <c r="J217" i="5"/>
  <c r="J182" i="5"/>
  <c r="J211" i="5"/>
  <c r="J212" i="5"/>
  <c r="J202" i="5"/>
  <c r="J203" i="5"/>
  <c r="J218" i="5"/>
  <c r="J204" i="5"/>
  <c r="J205" i="5"/>
  <c r="J206" i="5"/>
  <c r="J207" i="5"/>
  <c r="J183" i="5"/>
  <c r="J213" i="5"/>
  <c r="J208" i="5"/>
  <c r="J209" i="5"/>
  <c r="J219" i="5"/>
  <c r="J214" i="5"/>
  <c r="J220" i="5"/>
  <c r="J215" i="5"/>
  <c r="J221" i="5"/>
  <c r="J224" i="5"/>
  <c r="J222" i="5"/>
  <c r="J225" i="5"/>
  <c r="J232" i="5"/>
  <c r="J228" i="5"/>
  <c r="J226" i="5"/>
  <c r="J227" i="5"/>
  <c r="J233" i="5"/>
  <c r="J229" i="5"/>
  <c r="J234" i="5"/>
  <c r="J230" i="5"/>
  <c r="J235" i="5"/>
  <c r="J236" i="5"/>
  <c r="J237" i="5"/>
  <c r="I23" i="5"/>
  <c r="I11" i="5"/>
  <c r="I24" i="5"/>
  <c r="I12" i="5"/>
  <c r="I79" i="5"/>
  <c r="I3" i="5"/>
  <c r="I25" i="5"/>
  <c r="I4" i="5"/>
  <c r="I26" i="5"/>
  <c r="I55" i="5"/>
  <c r="I56" i="5"/>
  <c r="I57" i="5"/>
  <c r="I58" i="5"/>
  <c r="I5" i="5"/>
  <c r="I39" i="5"/>
  <c r="I160" i="5"/>
  <c r="I6" i="5"/>
  <c r="I7" i="5"/>
  <c r="I59" i="5"/>
  <c r="I60" i="5"/>
  <c r="I8" i="5"/>
  <c r="I27" i="5"/>
  <c r="I80" i="5"/>
  <c r="I61" i="5"/>
  <c r="I81" i="5"/>
  <c r="I82" i="5"/>
  <c r="I184" i="5"/>
  <c r="I83" i="5"/>
  <c r="I62" i="5"/>
  <c r="I28" i="5"/>
  <c r="I40" i="5"/>
  <c r="I103" i="5"/>
  <c r="I41" i="5"/>
  <c r="I84" i="5"/>
  <c r="I85" i="5"/>
  <c r="I86" i="5"/>
  <c r="I104" i="5"/>
  <c r="I87" i="5"/>
  <c r="I88" i="5"/>
  <c r="I161" i="5"/>
  <c r="I63" i="5"/>
  <c r="I130" i="5"/>
  <c r="I185" i="5"/>
  <c r="I131" i="5"/>
  <c r="I105" i="5"/>
  <c r="I132" i="5"/>
  <c r="I89" i="5"/>
  <c r="I42" i="5"/>
  <c r="I162" i="5"/>
  <c r="I186" i="5"/>
  <c r="I106" i="5"/>
  <c r="I9" i="5"/>
  <c r="I133" i="5"/>
  <c r="I90" i="5"/>
  <c r="I91" i="5"/>
  <c r="I13" i="5"/>
  <c r="I14" i="5"/>
  <c r="I107" i="5"/>
  <c r="I187" i="5"/>
  <c r="I188" i="5"/>
  <c r="I134" i="5"/>
  <c r="I15" i="5"/>
  <c r="I189" i="5"/>
  <c r="I108" i="5"/>
  <c r="I163" i="5"/>
  <c r="I43" i="5"/>
  <c r="I29" i="5"/>
  <c r="I164" i="5"/>
  <c r="I135" i="5"/>
  <c r="I92" i="5"/>
  <c r="I16" i="5"/>
  <c r="I190" i="5"/>
  <c r="I30" i="5"/>
  <c r="I165" i="5"/>
  <c r="I166" i="5"/>
  <c r="I44" i="5"/>
  <c r="I31" i="5"/>
  <c r="I17" i="5"/>
  <c r="I167" i="5"/>
  <c r="I10" i="5"/>
  <c r="I18" i="5"/>
  <c r="I64" i="5"/>
  <c r="I136" i="5"/>
  <c r="I32" i="5"/>
  <c r="I168" i="5"/>
  <c r="I45" i="5"/>
  <c r="I65" i="5"/>
  <c r="I137" i="5"/>
  <c r="I19" i="5"/>
  <c r="I191" i="5"/>
  <c r="I20" i="5"/>
  <c r="I33" i="5"/>
  <c r="I138" i="5"/>
  <c r="I169" i="5"/>
  <c r="I46" i="5"/>
  <c r="I223" i="5"/>
  <c r="I109" i="5"/>
  <c r="I170" i="5"/>
  <c r="I93" i="5"/>
  <c r="I34" i="5"/>
  <c r="I47" i="5"/>
  <c r="I35" i="5"/>
  <c r="I139" i="5"/>
  <c r="I21" i="5"/>
  <c r="I110" i="5"/>
  <c r="I66" i="5"/>
  <c r="I48" i="5"/>
  <c r="I171" i="5"/>
  <c r="I192" i="5"/>
  <c r="I140" i="5"/>
  <c r="I22" i="5"/>
  <c r="I49" i="5"/>
  <c r="I36" i="5"/>
  <c r="I50" i="5"/>
  <c r="I67" i="5"/>
  <c r="I172" i="5"/>
  <c r="I193" i="5"/>
  <c r="I141" i="5"/>
  <c r="I68" i="5"/>
  <c r="I111" i="5"/>
  <c r="I51" i="5"/>
  <c r="I69" i="5"/>
  <c r="I70" i="5"/>
  <c r="I94" i="5"/>
  <c r="I37" i="5"/>
  <c r="I38" i="5"/>
  <c r="I95" i="5"/>
  <c r="I71" i="5"/>
  <c r="I72" i="5"/>
  <c r="I112" i="5"/>
  <c r="I73" i="5"/>
  <c r="I113" i="5"/>
  <c r="I74" i="5"/>
  <c r="I142" i="5"/>
  <c r="I75" i="5"/>
  <c r="I143" i="5"/>
  <c r="I114" i="5"/>
  <c r="I52" i="5"/>
  <c r="I53" i="5"/>
  <c r="I76" i="5"/>
  <c r="I77" i="5"/>
  <c r="I96" i="5"/>
  <c r="I97" i="5"/>
  <c r="I54" i="5"/>
  <c r="I115" i="5"/>
  <c r="I144" i="5"/>
  <c r="I116" i="5"/>
  <c r="I194" i="5"/>
  <c r="I145" i="5"/>
  <c r="I146" i="5"/>
  <c r="I117" i="5"/>
  <c r="I98" i="5"/>
  <c r="I147" i="5"/>
  <c r="I148" i="5"/>
  <c r="I118" i="5"/>
  <c r="I119" i="5"/>
  <c r="I78" i="5"/>
  <c r="I149" i="5"/>
  <c r="I120" i="5"/>
  <c r="I99" i="5"/>
  <c r="I121" i="5"/>
  <c r="I100" i="5"/>
  <c r="I210" i="5"/>
  <c r="I122" i="5"/>
  <c r="I150" i="5"/>
  <c r="I231" i="5"/>
  <c r="I123" i="5"/>
  <c r="I151" i="5"/>
  <c r="I101" i="5"/>
  <c r="I124" i="5"/>
  <c r="I125" i="5"/>
  <c r="I173" i="5"/>
  <c r="I152" i="5"/>
  <c r="I195" i="5"/>
  <c r="I196" i="5"/>
  <c r="I153" i="5"/>
  <c r="I174" i="5"/>
  <c r="I154" i="5"/>
  <c r="I155" i="5"/>
  <c r="I102" i="5"/>
  <c r="I175" i="5"/>
  <c r="I156" i="5"/>
  <c r="I126" i="5"/>
  <c r="I127" i="5"/>
  <c r="I128" i="5"/>
  <c r="I176" i="5"/>
  <c r="I157" i="5"/>
  <c r="I216" i="5"/>
  <c r="I197" i="5"/>
  <c r="I129" i="5"/>
  <c r="I198" i="5"/>
  <c r="I199" i="5"/>
  <c r="I177" i="5"/>
  <c r="I178" i="5"/>
  <c r="I179" i="5"/>
  <c r="I158" i="5"/>
  <c r="I200" i="5"/>
  <c r="I180" i="5"/>
  <c r="I201" i="5"/>
  <c r="I159" i="5"/>
  <c r="I181" i="5"/>
  <c r="I217" i="5"/>
  <c r="I182" i="5"/>
  <c r="I211" i="5"/>
  <c r="I212" i="5"/>
  <c r="I202" i="5"/>
  <c r="I203" i="5"/>
  <c r="I218" i="5"/>
  <c r="I204" i="5"/>
  <c r="I205" i="5"/>
  <c r="I206" i="5"/>
  <c r="I207" i="5"/>
  <c r="I183" i="5"/>
  <c r="I213" i="5"/>
  <c r="I208" i="5"/>
  <c r="I209" i="5"/>
  <c r="I219" i="5"/>
  <c r="I214" i="5"/>
  <c r="I220" i="5"/>
  <c r="I215" i="5"/>
  <c r="I221" i="5"/>
  <c r="I224" i="5"/>
  <c r="I222" i="5"/>
  <c r="I225" i="5"/>
  <c r="I232" i="5"/>
  <c r="I228" i="5"/>
  <c r="I226" i="5"/>
  <c r="I227" i="5"/>
  <c r="I233" i="5"/>
  <c r="I229" i="5"/>
  <c r="I234" i="5"/>
  <c r="I230" i="5"/>
  <c r="I235" i="5"/>
  <c r="I236" i="5"/>
  <c r="I237" i="5"/>
  <c r="S23" i="5"/>
  <c r="S11" i="5"/>
  <c r="S24" i="5"/>
  <c r="S12" i="5"/>
  <c r="S79" i="5"/>
  <c r="S3" i="5"/>
  <c r="S25" i="5"/>
  <c r="S4" i="5"/>
  <c r="S26" i="5"/>
  <c r="S55" i="5"/>
  <c r="S56" i="5"/>
  <c r="S57" i="5"/>
  <c r="S58" i="5"/>
  <c r="S5" i="5"/>
  <c r="S39" i="5"/>
  <c r="S160" i="5"/>
  <c r="S6" i="5"/>
  <c r="S7" i="5"/>
  <c r="S59" i="5"/>
  <c r="S60" i="5"/>
  <c r="S8" i="5"/>
  <c r="S27" i="5"/>
  <c r="S80" i="5"/>
  <c r="S61" i="5"/>
  <c r="S81" i="5"/>
  <c r="S82" i="5"/>
  <c r="S184" i="5"/>
  <c r="S83" i="5"/>
  <c r="S62" i="5"/>
  <c r="S28" i="5"/>
  <c r="S40" i="5"/>
  <c r="S103" i="5"/>
  <c r="S41" i="5"/>
  <c r="S84" i="5"/>
  <c r="S85" i="5"/>
  <c r="S86" i="5"/>
  <c r="S104" i="5"/>
  <c r="S87" i="5"/>
  <c r="S88" i="5"/>
  <c r="S161" i="5"/>
  <c r="S63" i="5"/>
  <c r="S130" i="5"/>
  <c r="S185" i="5"/>
  <c r="S131" i="5"/>
  <c r="S105" i="5"/>
  <c r="S132" i="5"/>
  <c r="S89" i="5"/>
  <c r="S42" i="5"/>
  <c r="S162" i="5"/>
  <c r="S186" i="5"/>
  <c r="S106" i="5"/>
  <c r="S9" i="5"/>
  <c r="S133" i="5"/>
  <c r="S90" i="5"/>
  <c r="S91" i="5"/>
  <c r="S13" i="5"/>
  <c r="S14" i="5"/>
  <c r="S107" i="5"/>
  <c r="S187" i="5"/>
  <c r="S188" i="5"/>
  <c r="S134" i="5"/>
  <c r="S15" i="5"/>
  <c r="S189" i="5"/>
  <c r="S108" i="5"/>
  <c r="S163" i="5"/>
  <c r="S43" i="5"/>
  <c r="S29" i="5"/>
  <c r="S164" i="5"/>
  <c r="S135" i="5"/>
  <c r="S92" i="5"/>
  <c r="S16" i="5"/>
  <c r="S190" i="5"/>
  <c r="S30" i="5"/>
  <c r="S165" i="5"/>
  <c r="S166" i="5"/>
  <c r="S44" i="5"/>
  <c r="S31" i="5"/>
  <c r="S17" i="5"/>
  <c r="S167" i="5"/>
  <c r="S10" i="5"/>
  <c r="S18" i="5"/>
  <c r="S64" i="5"/>
  <c r="S136" i="5"/>
  <c r="S32" i="5"/>
  <c r="S168" i="5"/>
  <c r="S45" i="5"/>
  <c r="S65" i="5"/>
  <c r="S137" i="5"/>
  <c r="S19" i="5"/>
  <c r="S191" i="5"/>
  <c r="S20" i="5"/>
  <c r="S33" i="5"/>
  <c r="S138" i="5"/>
  <c r="S169" i="5"/>
  <c r="S46" i="5"/>
  <c r="S223" i="5"/>
  <c r="S109" i="5"/>
  <c r="S170" i="5"/>
  <c r="S93" i="5"/>
  <c r="S34" i="5"/>
  <c r="S47" i="5"/>
  <c r="S35" i="5"/>
  <c r="S139" i="5"/>
  <c r="S21" i="5"/>
  <c r="S110" i="5"/>
  <c r="S66" i="5"/>
  <c r="S48" i="5"/>
  <c r="S171" i="5"/>
  <c r="S192" i="5"/>
  <c r="S140" i="5"/>
  <c r="S22" i="5"/>
  <c r="S49" i="5"/>
  <c r="S36" i="5"/>
  <c r="S50" i="5"/>
  <c r="S67" i="5"/>
  <c r="S172" i="5"/>
  <c r="S193" i="5"/>
  <c r="S141" i="5"/>
  <c r="S68" i="5"/>
  <c r="S111" i="5"/>
  <c r="S51" i="5"/>
  <c r="S69" i="5"/>
  <c r="S70" i="5"/>
  <c r="S94" i="5"/>
  <c r="S37" i="5"/>
  <c r="S38" i="5"/>
  <c r="S95" i="5"/>
  <c r="S71" i="5"/>
  <c r="S72" i="5"/>
  <c r="S112" i="5"/>
  <c r="S73" i="5"/>
  <c r="S113" i="5"/>
  <c r="S74" i="5"/>
  <c r="S142" i="5"/>
  <c r="S75" i="5"/>
  <c r="S143" i="5"/>
  <c r="S114" i="5"/>
  <c r="S52" i="5"/>
  <c r="S53" i="5"/>
  <c r="S76" i="5"/>
  <c r="S77" i="5"/>
  <c r="S96" i="5"/>
  <c r="S97" i="5"/>
  <c r="S54" i="5"/>
  <c r="S115" i="5"/>
  <c r="S144" i="5"/>
  <c r="S116" i="5"/>
  <c r="S194" i="5"/>
  <c r="S145" i="5"/>
  <c r="S146" i="5"/>
  <c r="S117" i="5"/>
  <c r="S98" i="5"/>
  <c r="S147" i="5"/>
  <c r="S148" i="5"/>
  <c r="S118" i="5"/>
  <c r="S119" i="5"/>
  <c r="S78" i="5"/>
  <c r="S149" i="5"/>
  <c r="S120" i="5"/>
  <c r="S99" i="5"/>
  <c r="S121" i="5"/>
  <c r="S100" i="5"/>
  <c r="S210" i="5"/>
  <c r="S122" i="5"/>
  <c r="S150" i="5"/>
  <c r="S231" i="5"/>
  <c r="S123" i="5"/>
  <c r="S151" i="5"/>
  <c r="S101" i="5"/>
  <c r="S124" i="5"/>
  <c r="S125" i="5"/>
  <c r="S173" i="5"/>
  <c r="S152" i="5"/>
  <c r="S195" i="5"/>
  <c r="S196" i="5"/>
  <c r="S153" i="5"/>
  <c r="S174" i="5"/>
  <c r="S154" i="5"/>
  <c r="S155" i="5"/>
  <c r="S102" i="5"/>
  <c r="S175" i="5"/>
  <c r="S156" i="5"/>
  <c r="S126" i="5"/>
  <c r="S127" i="5"/>
  <c r="S128" i="5"/>
  <c r="S176" i="5"/>
  <c r="S157" i="5"/>
  <c r="S216" i="5"/>
  <c r="S197" i="5"/>
  <c r="S129" i="5"/>
  <c r="S198" i="5"/>
  <c r="S199" i="5"/>
  <c r="S177" i="5"/>
  <c r="S178" i="5"/>
  <c r="S179" i="5"/>
  <c r="S158" i="5"/>
  <c r="S200" i="5"/>
  <c r="S180" i="5"/>
  <c r="S201" i="5"/>
  <c r="S159" i="5"/>
  <c r="S181" i="5"/>
  <c r="S217" i="5"/>
  <c r="S182" i="5"/>
  <c r="S211" i="5"/>
  <c r="S212" i="5"/>
  <c r="S202" i="5"/>
  <c r="S203" i="5"/>
  <c r="S218" i="5"/>
  <c r="S204" i="5"/>
  <c r="S205" i="5"/>
  <c r="S206" i="5"/>
  <c r="S207" i="5"/>
  <c r="S183" i="5"/>
  <c r="S213" i="5"/>
  <c r="S208" i="5"/>
  <c r="S209" i="5"/>
  <c r="S219" i="5"/>
  <c r="S214" i="5"/>
  <c r="S220" i="5"/>
  <c r="S215" i="5"/>
  <c r="S221" i="5"/>
  <c r="S224" i="5"/>
  <c r="S222" i="5"/>
  <c r="S225" i="5"/>
  <c r="S232" i="5"/>
  <c r="S228" i="5"/>
  <c r="S226" i="5"/>
  <c r="S227" i="5"/>
  <c r="S233" i="5"/>
  <c r="S229" i="5"/>
  <c r="S234" i="5"/>
  <c r="S230" i="5"/>
  <c r="S235" i="5"/>
  <c r="S236" i="5"/>
  <c r="S237" i="5"/>
  <c r="R23" i="5"/>
  <c r="R11" i="5"/>
  <c r="R24" i="5"/>
  <c r="R12" i="5"/>
  <c r="R79" i="5"/>
  <c r="R3" i="5"/>
  <c r="R25" i="5"/>
  <c r="R4" i="5"/>
  <c r="R26" i="5"/>
  <c r="R55" i="5"/>
  <c r="R56" i="5"/>
  <c r="R57" i="5"/>
  <c r="R58" i="5"/>
  <c r="R5" i="5"/>
  <c r="R39" i="5"/>
  <c r="R160" i="5"/>
  <c r="R6" i="5"/>
  <c r="R7" i="5"/>
  <c r="R59" i="5"/>
  <c r="R60" i="5"/>
  <c r="R8" i="5"/>
  <c r="R27" i="5"/>
  <c r="R80" i="5"/>
  <c r="R61" i="5"/>
  <c r="R81" i="5"/>
  <c r="R82" i="5"/>
  <c r="R184" i="5"/>
  <c r="R83" i="5"/>
  <c r="R62" i="5"/>
  <c r="R28" i="5"/>
  <c r="R40" i="5"/>
  <c r="R103" i="5"/>
  <c r="R41" i="5"/>
  <c r="R84" i="5"/>
  <c r="R85" i="5"/>
  <c r="R86" i="5"/>
  <c r="R104" i="5"/>
  <c r="R87" i="5"/>
  <c r="R88" i="5"/>
  <c r="R161" i="5"/>
  <c r="R63" i="5"/>
  <c r="R130" i="5"/>
  <c r="R185" i="5"/>
  <c r="R131" i="5"/>
  <c r="R105" i="5"/>
  <c r="R132" i="5"/>
  <c r="R89" i="5"/>
  <c r="R42" i="5"/>
  <c r="R162" i="5"/>
  <c r="R186" i="5"/>
  <c r="R106" i="5"/>
  <c r="R9" i="5"/>
  <c r="R133" i="5"/>
  <c r="R90" i="5"/>
  <c r="R91" i="5"/>
  <c r="R13" i="5"/>
  <c r="R14" i="5"/>
  <c r="R107" i="5"/>
  <c r="R187" i="5"/>
  <c r="R188" i="5"/>
  <c r="R134" i="5"/>
  <c r="R15" i="5"/>
  <c r="R189" i="5"/>
  <c r="R108" i="5"/>
  <c r="R163" i="5"/>
  <c r="R43" i="5"/>
  <c r="R29" i="5"/>
  <c r="R164" i="5"/>
  <c r="R135" i="5"/>
  <c r="R92" i="5"/>
  <c r="R16" i="5"/>
  <c r="R190" i="5"/>
  <c r="R30" i="5"/>
  <c r="R165" i="5"/>
  <c r="R166" i="5"/>
  <c r="R44" i="5"/>
  <c r="R31" i="5"/>
  <c r="R17" i="5"/>
  <c r="R167" i="5"/>
  <c r="R10" i="5"/>
  <c r="R18" i="5"/>
  <c r="R64" i="5"/>
  <c r="R136" i="5"/>
  <c r="R32" i="5"/>
  <c r="R168" i="5"/>
  <c r="R45" i="5"/>
  <c r="R65" i="5"/>
  <c r="R137" i="5"/>
  <c r="R19" i="5"/>
  <c r="R191" i="5"/>
  <c r="R20" i="5"/>
  <c r="R33" i="5"/>
  <c r="R138" i="5"/>
  <c r="R169" i="5"/>
  <c r="R46" i="5"/>
  <c r="R223" i="5"/>
  <c r="R109" i="5"/>
  <c r="R170" i="5"/>
  <c r="R93" i="5"/>
  <c r="R34" i="5"/>
  <c r="R47" i="5"/>
  <c r="R35" i="5"/>
  <c r="R139" i="5"/>
  <c r="R21" i="5"/>
  <c r="R110" i="5"/>
  <c r="R66" i="5"/>
  <c r="R48" i="5"/>
  <c r="R171" i="5"/>
  <c r="R192" i="5"/>
  <c r="R140" i="5"/>
  <c r="R22" i="5"/>
  <c r="R49" i="5"/>
  <c r="R36" i="5"/>
  <c r="R50" i="5"/>
  <c r="R67" i="5"/>
  <c r="R172" i="5"/>
  <c r="R193" i="5"/>
  <c r="R141" i="5"/>
  <c r="R68" i="5"/>
  <c r="R111" i="5"/>
  <c r="R51" i="5"/>
  <c r="R69" i="5"/>
  <c r="R70" i="5"/>
  <c r="R94" i="5"/>
  <c r="R37" i="5"/>
  <c r="R38" i="5"/>
  <c r="R95" i="5"/>
  <c r="R71" i="5"/>
  <c r="R72" i="5"/>
  <c r="R112" i="5"/>
  <c r="R73" i="5"/>
  <c r="R113" i="5"/>
  <c r="R74" i="5"/>
  <c r="R142" i="5"/>
  <c r="R75" i="5"/>
  <c r="R143" i="5"/>
  <c r="R114" i="5"/>
  <c r="R52" i="5"/>
  <c r="R53" i="5"/>
  <c r="R76" i="5"/>
  <c r="R77" i="5"/>
  <c r="R96" i="5"/>
  <c r="R97" i="5"/>
  <c r="R54" i="5"/>
  <c r="R115" i="5"/>
  <c r="R144" i="5"/>
  <c r="R116" i="5"/>
  <c r="R194" i="5"/>
  <c r="R145" i="5"/>
  <c r="R146" i="5"/>
  <c r="R117" i="5"/>
  <c r="R98" i="5"/>
  <c r="R147" i="5"/>
  <c r="R148" i="5"/>
  <c r="R118" i="5"/>
  <c r="R119" i="5"/>
  <c r="R78" i="5"/>
  <c r="R149" i="5"/>
  <c r="R120" i="5"/>
  <c r="R99" i="5"/>
  <c r="R121" i="5"/>
  <c r="R100" i="5"/>
  <c r="R210" i="5"/>
  <c r="R122" i="5"/>
  <c r="R150" i="5"/>
  <c r="R231" i="5"/>
  <c r="R123" i="5"/>
  <c r="R151" i="5"/>
  <c r="R101" i="5"/>
  <c r="R124" i="5"/>
  <c r="R125" i="5"/>
  <c r="R173" i="5"/>
  <c r="R152" i="5"/>
  <c r="R195" i="5"/>
  <c r="R196" i="5"/>
  <c r="R153" i="5"/>
  <c r="R174" i="5"/>
  <c r="R154" i="5"/>
  <c r="R155" i="5"/>
  <c r="R102" i="5"/>
  <c r="R175" i="5"/>
  <c r="R156" i="5"/>
  <c r="R126" i="5"/>
  <c r="R127" i="5"/>
  <c r="R128" i="5"/>
  <c r="R176" i="5"/>
  <c r="R157" i="5"/>
  <c r="R216" i="5"/>
  <c r="R197" i="5"/>
  <c r="R129" i="5"/>
  <c r="R198" i="5"/>
  <c r="R199" i="5"/>
  <c r="R177" i="5"/>
  <c r="R178" i="5"/>
  <c r="R179" i="5"/>
  <c r="R158" i="5"/>
  <c r="R200" i="5"/>
  <c r="R180" i="5"/>
  <c r="R201" i="5"/>
  <c r="R159" i="5"/>
  <c r="R181" i="5"/>
  <c r="R217" i="5"/>
  <c r="R182" i="5"/>
  <c r="R211" i="5"/>
  <c r="R212" i="5"/>
  <c r="R202" i="5"/>
  <c r="R203" i="5"/>
  <c r="R218" i="5"/>
  <c r="R204" i="5"/>
  <c r="R205" i="5"/>
  <c r="R206" i="5"/>
  <c r="R207" i="5"/>
  <c r="R183" i="5"/>
  <c r="R213" i="5"/>
  <c r="R208" i="5"/>
  <c r="R209" i="5"/>
  <c r="R219" i="5"/>
  <c r="R214" i="5"/>
  <c r="R220" i="5"/>
  <c r="R215" i="5"/>
  <c r="R221" i="5"/>
  <c r="R224" i="5"/>
  <c r="R222" i="5"/>
  <c r="R225" i="5"/>
  <c r="R232" i="5"/>
  <c r="R228" i="5"/>
  <c r="R226" i="5"/>
  <c r="R227" i="5"/>
  <c r="R233" i="5"/>
  <c r="R229" i="5"/>
  <c r="R234" i="5"/>
  <c r="R230" i="5"/>
  <c r="R235" i="5"/>
  <c r="R236" i="5"/>
  <c r="R237" i="5"/>
  <c r="Q23" i="5"/>
  <c r="Q11" i="5"/>
  <c r="Q24" i="5"/>
  <c r="Q12" i="5"/>
  <c r="Q79" i="5"/>
  <c r="Q3" i="5"/>
  <c r="Q25" i="5"/>
  <c r="Q4" i="5"/>
  <c r="Q26" i="5"/>
  <c r="Q55" i="5"/>
  <c r="Q56" i="5"/>
  <c r="Q57" i="5"/>
  <c r="Q58" i="5"/>
  <c r="Q39" i="5"/>
  <c r="Q160" i="5"/>
  <c r="Q6" i="5"/>
  <c r="Q7" i="5"/>
  <c r="Q59" i="5"/>
  <c r="Q60" i="5"/>
  <c r="Q8" i="5"/>
  <c r="Q27" i="5"/>
  <c r="Q80" i="5"/>
  <c r="Q61" i="5"/>
  <c r="Q81" i="5"/>
  <c r="Q82" i="5"/>
  <c r="Q184" i="5"/>
  <c r="Q83" i="5"/>
  <c r="Q62" i="5"/>
  <c r="Q28" i="5"/>
  <c r="Q40" i="5"/>
  <c r="Q103" i="5"/>
  <c r="Q41" i="5"/>
  <c r="Q84" i="5"/>
  <c r="Q85" i="5"/>
  <c r="Q86" i="5"/>
  <c r="Q104" i="5"/>
  <c r="Q87" i="5"/>
  <c r="Q88" i="5"/>
  <c r="Q161" i="5"/>
  <c r="Q63" i="5"/>
  <c r="Q130" i="5"/>
  <c r="Q185" i="5"/>
  <c r="Q131" i="5"/>
  <c r="Q105" i="5"/>
  <c r="Q132" i="5"/>
  <c r="Q89" i="5"/>
  <c r="Q42" i="5"/>
  <c r="Q162" i="5"/>
  <c r="Q186" i="5"/>
  <c r="Q106" i="5"/>
  <c r="Q9" i="5"/>
  <c r="Q133" i="5"/>
  <c r="Q90" i="5"/>
  <c r="Q91" i="5"/>
  <c r="Q13" i="5"/>
  <c r="Q14" i="5"/>
  <c r="Q107" i="5"/>
  <c r="Q187" i="5"/>
  <c r="Q188" i="5"/>
  <c r="Q134" i="5"/>
  <c r="Q15" i="5"/>
  <c r="Q189" i="5"/>
  <c r="Q108" i="5"/>
  <c r="Q163" i="5"/>
  <c r="Q43" i="5"/>
  <c r="Q29" i="5"/>
  <c r="Q164" i="5"/>
  <c r="Q135" i="5"/>
  <c r="Q92" i="5"/>
  <c r="Q16" i="5"/>
  <c r="Q190" i="5"/>
  <c r="Q30" i="5"/>
  <c r="Q165" i="5"/>
  <c r="Q166" i="5"/>
  <c r="Q44" i="5"/>
  <c r="Q31" i="5"/>
  <c r="Q17" i="5"/>
  <c r="Q167" i="5"/>
  <c r="Q10" i="5"/>
  <c r="Q18" i="5"/>
  <c r="Q64" i="5"/>
  <c r="Q136" i="5"/>
  <c r="Q32" i="5"/>
  <c r="Q168" i="5"/>
  <c r="Q45" i="5"/>
  <c r="Q65" i="5"/>
  <c r="Q137" i="5"/>
  <c r="Q19" i="5"/>
  <c r="Q191" i="5"/>
  <c r="Q20" i="5"/>
  <c r="Q33" i="5"/>
  <c r="Q138" i="5"/>
  <c r="Q169" i="5"/>
  <c r="Q46" i="5"/>
  <c r="Q223" i="5"/>
  <c r="Q109" i="5"/>
  <c r="Q170" i="5"/>
  <c r="Q93" i="5"/>
  <c r="Q34" i="5"/>
  <c r="Q47" i="5"/>
  <c r="Q35" i="5"/>
  <c r="Q139" i="5"/>
  <c r="Q21" i="5"/>
  <c r="Q110" i="5"/>
  <c r="Q66" i="5"/>
  <c r="Q48" i="5"/>
  <c r="Q171" i="5"/>
  <c r="Q192" i="5"/>
  <c r="Q140" i="5"/>
  <c r="Q22" i="5"/>
  <c r="Q49" i="5"/>
  <c r="Q36" i="5"/>
  <c r="Q50" i="5"/>
  <c r="Q67" i="5"/>
  <c r="Q172" i="5"/>
  <c r="Q193" i="5"/>
  <c r="Q141" i="5"/>
  <c r="Q68" i="5"/>
  <c r="Q111" i="5"/>
  <c r="Q51" i="5"/>
  <c r="Q69" i="5"/>
  <c r="Q70" i="5"/>
  <c r="Q94" i="5"/>
  <c r="Q37" i="5"/>
  <c r="Q38" i="5"/>
  <c r="Q95" i="5"/>
  <c r="Q71" i="5"/>
  <c r="Q72" i="5"/>
  <c r="Q112" i="5"/>
  <c r="Q73" i="5"/>
  <c r="Q113" i="5"/>
  <c r="Q74" i="5"/>
  <c r="Q142" i="5"/>
  <c r="Q75" i="5"/>
  <c r="Q143" i="5"/>
  <c r="Q114" i="5"/>
  <c r="Q52" i="5"/>
  <c r="Q53" i="5"/>
  <c r="Q76" i="5"/>
  <c r="Q77" i="5"/>
  <c r="Q96" i="5"/>
  <c r="Q97" i="5"/>
  <c r="Q54" i="5"/>
  <c r="Q115" i="5"/>
  <c r="Q144" i="5"/>
  <c r="Q116" i="5"/>
  <c r="Q194" i="5"/>
  <c r="Q145" i="5"/>
  <c r="Q146" i="5"/>
  <c r="Q117" i="5"/>
  <c r="Q98" i="5"/>
  <c r="Q147" i="5"/>
  <c r="Q148" i="5"/>
  <c r="Q118" i="5"/>
  <c r="Q119" i="5"/>
  <c r="Q78" i="5"/>
  <c r="Q149" i="5"/>
  <c r="Q120" i="5"/>
  <c r="Q99" i="5"/>
  <c r="Q121" i="5"/>
  <c r="Q100" i="5"/>
  <c r="Q210" i="5"/>
  <c r="Q122" i="5"/>
  <c r="Q150" i="5"/>
  <c r="Q231" i="5"/>
  <c r="Q123" i="5"/>
  <c r="Q151" i="5"/>
  <c r="Q101" i="5"/>
  <c r="Q124" i="5"/>
  <c r="Q125" i="5"/>
  <c r="Q173" i="5"/>
  <c r="Q152" i="5"/>
  <c r="Q195" i="5"/>
  <c r="Q196" i="5"/>
  <c r="Q153" i="5"/>
  <c r="Q174" i="5"/>
  <c r="Q154" i="5"/>
  <c r="Q155" i="5"/>
  <c r="Q102" i="5"/>
  <c r="Q175" i="5"/>
  <c r="Q156" i="5"/>
  <c r="Q126" i="5"/>
  <c r="Q127" i="5"/>
  <c r="Q128" i="5"/>
  <c r="Q176" i="5"/>
  <c r="Q157" i="5"/>
  <c r="Q216" i="5"/>
  <c r="Q197" i="5"/>
  <c r="Q129" i="5"/>
  <c r="Q198" i="5"/>
  <c r="Q199" i="5"/>
  <c r="Q177" i="5"/>
  <c r="Q178" i="5"/>
  <c r="Q179" i="5"/>
  <c r="Q158" i="5"/>
  <c r="Q200" i="5"/>
  <c r="Q180" i="5"/>
  <c r="Q201" i="5"/>
  <c r="Q159" i="5"/>
  <c r="Q181" i="5"/>
  <c r="Q217" i="5"/>
  <c r="Q182" i="5"/>
  <c r="Q211" i="5"/>
  <c r="Q212" i="5"/>
  <c r="Q202" i="5"/>
  <c r="Q203" i="5"/>
  <c r="Q218" i="5"/>
  <c r="Q204" i="5"/>
  <c r="Q205" i="5"/>
  <c r="Q206" i="5"/>
  <c r="Q207" i="5"/>
  <c r="Q183" i="5"/>
  <c r="Q213" i="5"/>
  <c r="Q208" i="5"/>
  <c r="Q209" i="5"/>
  <c r="Q219" i="5"/>
  <c r="Q214" i="5"/>
  <c r="Q220" i="5"/>
  <c r="Q215" i="5"/>
  <c r="Q221" i="5"/>
  <c r="Q224" i="5"/>
  <c r="Q222" i="5"/>
  <c r="Q225" i="5"/>
  <c r="Q232" i="5"/>
  <c r="Q228" i="5"/>
  <c r="Q226" i="5"/>
  <c r="Q227" i="5"/>
  <c r="Q233" i="5"/>
  <c r="Q229" i="5"/>
  <c r="Q234" i="5"/>
  <c r="Q230" i="5"/>
  <c r="Q235" i="5"/>
  <c r="Q236" i="5"/>
  <c r="Q237" i="5"/>
  <c r="W23" i="5"/>
  <c r="W11" i="5"/>
  <c r="W24" i="5"/>
  <c r="W12" i="5"/>
  <c r="W79" i="5"/>
  <c r="W3" i="5"/>
  <c r="W25" i="5"/>
  <c r="W4" i="5"/>
  <c r="W26" i="5"/>
  <c r="W55" i="5"/>
  <c r="W56" i="5"/>
  <c r="W57" i="5"/>
  <c r="W58" i="5"/>
  <c r="W5" i="5"/>
  <c r="W39" i="5"/>
  <c r="W160" i="5"/>
  <c r="W6" i="5"/>
  <c r="W7" i="5"/>
  <c r="W59" i="5"/>
  <c r="W60" i="5"/>
  <c r="W8" i="5"/>
  <c r="W27" i="5"/>
  <c r="W80" i="5"/>
  <c r="W61" i="5"/>
  <c r="W81" i="5"/>
  <c r="W82" i="5"/>
  <c r="W184" i="5"/>
  <c r="W83" i="5"/>
  <c r="W62" i="5"/>
  <c r="W28" i="5"/>
  <c r="W40" i="5"/>
  <c r="W103" i="5"/>
  <c r="W41" i="5"/>
  <c r="W84" i="5"/>
  <c r="W85" i="5"/>
  <c r="W86" i="5"/>
  <c r="W104" i="5"/>
  <c r="W87" i="5"/>
  <c r="W88" i="5"/>
  <c r="W161" i="5"/>
  <c r="W63" i="5"/>
  <c r="W130" i="5"/>
  <c r="W185" i="5"/>
  <c r="W131" i="5"/>
  <c r="W105" i="5"/>
  <c r="W132" i="5"/>
  <c r="W89" i="5"/>
  <c r="W42" i="5"/>
  <c r="W162" i="5"/>
  <c r="W186" i="5"/>
  <c r="W106" i="5"/>
  <c r="W9" i="5"/>
  <c r="W133" i="5"/>
  <c r="W90" i="5"/>
  <c r="W91" i="5"/>
  <c r="W13" i="5"/>
  <c r="W14" i="5"/>
  <c r="W107" i="5"/>
  <c r="W187" i="5"/>
  <c r="W188" i="5"/>
  <c r="W134" i="5"/>
  <c r="W15" i="5"/>
  <c r="W189" i="5"/>
  <c r="W108" i="5"/>
  <c r="W163" i="5"/>
  <c r="W43" i="5"/>
  <c r="W29" i="5"/>
  <c r="W164" i="5"/>
  <c r="W135" i="5"/>
  <c r="W92" i="5"/>
  <c r="W16" i="5"/>
  <c r="W190" i="5"/>
  <c r="W30" i="5"/>
  <c r="W165" i="5"/>
  <c r="W166" i="5"/>
  <c r="W44" i="5"/>
  <c r="W31" i="5"/>
  <c r="W17" i="5"/>
  <c r="W167" i="5"/>
  <c r="W10" i="5"/>
  <c r="W18" i="5"/>
  <c r="W64" i="5"/>
  <c r="W136" i="5"/>
  <c r="W32" i="5"/>
  <c r="W168" i="5"/>
  <c r="W45" i="5"/>
  <c r="W65" i="5"/>
  <c r="W137" i="5"/>
  <c r="W19" i="5"/>
  <c r="W191" i="5"/>
  <c r="W20" i="5"/>
  <c r="W33" i="5"/>
  <c r="W138" i="5"/>
  <c r="W169" i="5"/>
  <c r="W46" i="5"/>
  <c r="W223" i="5"/>
  <c r="W109" i="5"/>
  <c r="W170" i="5"/>
  <c r="W93" i="5"/>
  <c r="W34" i="5"/>
  <c r="W47" i="5"/>
  <c r="W35" i="5"/>
  <c r="W139" i="5"/>
  <c r="W21" i="5"/>
  <c r="W110" i="5"/>
  <c r="W66" i="5"/>
  <c r="W48" i="5"/>
  <c r="W171" i="5"/>
  <c r="W192" i="5"/>
  <c r="W140" i="5"/>
  <c r="W22" i="5"/>
  <c r="W49" i="5"/>
  <c r="W36" i="5"/>
  <c r="W50" i="5"/>
  <c r="W67" i="5"/>
  <c r="W172" i="5"/>
  <c r="W193" i="5"/>
  <c r="W141" i="5"/>
  <c r="W68" i="5"/>
  <c r="W111" i="5"/>
  <c r="W51" i="5"/>
  <c r="W69" i="5"/>
  <c r="W70" i="5"/>
  <c r="W94" i="5"/>
  <c r="W37" i="5"/>
  <c r="W38" i="5"/>
  <c r="W95" i="5"/>
  <c r="W71" i="5"/>
  <c r="W72" i="5"/>
  <c r="W112" i="5"/>
  <c r="W73" i="5"/>
  <c r="W113" i="5"/>
  <c r="W74" i="5"/>
  <c r="W142" i="5"/>
  <c r="W75" i="5"/>
  <c r="W143" i="5"/>
  <c r="W114" i="5"/>
  <c r="W52" i="5"/>
  <c r="W53" i="5"/>
  <c r="W76" i="5"/>
  <c r="W77" i="5"/>
  <c r="W96" i="5"/>
  <c r="W97" i="5"/>
  <c r="W54" i="5"/>
  <c r="W115" i="5"/>
  <c r="W144" i="5"/>
  <c r="W116" i="5"/>
  <c r="W194" i="5"/>
  <c r="W145" i="5"/>
  <c r="W146" i="5"/>
  <c r="W117" i="5"/>
  <c r="W98" i="5"/>
  <c r="W147" i="5"/>
  <c r="W148" i="5"/>
  <c r="W118" i="5"/>
  <c r="W119" i="5"/>
  <c r="W78" i="5"/>
  <c r="W149" i="5"/>
  <c r="W120" i="5"/>
  <c r="W99" i="5"/>
  <c r="W121" i="5"/>
  <c r="W100" i="5"/>
  <c r="W210" i="5"/>
  <c r="W122" i="5"/>
  <c r="W150" i="5"/>
  <c r="W231" i="5"/>
  <c r="W123" i="5"/>
  <c r="W151" i="5"/>
  <c r="W101" i="5"/>
  <c r="W124" i="5"/>
  <c r="W125" i="5"/>
  <c r="W173" i="5"/>
  <c r="W152" i="5"/>
  <c r="W195" i="5"/>
  <c r="W196" i="5"/>
  <c r="W153" i="5"/>
  <c r="W174" i="5"/>
  <c r="W154" i="5"/>
  <c r="W155" i="5"/>
  <c r="W102" i="5"/>
  <c r="W175" i="5"/>
  <c r="W156" i="5"/>
  <c r="W126" i="5"/>
  <c r="W127" i="5"/>
  <c r="W128" i="5"/>
  <c r="W176" i="5"/>
  <c r="W157" i="5"/>
  <c r="W216" i="5"/>
  <c r="W197" i="5"/>
  <c r="W129" i="5"/>
  <c r="W198" i="5"/>
  <c r="W199" i="5"/>
  <c r="W177" i="5"/>
  <c r="W178" i="5"/>
  <c r="W179" i="5"/>
  <c r="W158" i="5"/>
  <c r="W200" i="5"/>
  <c r="W180" i="5"/>
  <c r="W201" i="5"/>
  <c r="W159" i="5"/>
  <c r="W181" i="5"/>
  <c r="W217" i="5"/>
  <c r="W182" i="5"/>
  <c r="W211" i="5"/>
  <c r="W212" i="5"/>
  <c r="W202" i="5"/>
  <c r="W203" i="5"/>
  <c r="W218" i="5"/>
  <c r="W204" i="5"/>
  <c r="W205" i="5"/>
  <c r="W206" i="5"/>
  <c r="W207" i="5"/>
  <c r="W183" i="5"/>
  <c r="W213" i="5"/>
  <c r="W208" i="5"/>
  <c r="W209" i="5"/>
  <c r="W219" i="5"/>
  <c r="W214" i="5"/>
  <c r="W220" i="5"/>
  <c r="W215" i="5"/>
  <c r="W221" i="5"/>
  <c r="W224" i="5"/>
  <c r="W222" i="5"/>
  <c r="W225" i="5"/>
  <c r="W232" i="5"/>
  <c r="W228" i="5"/>
  <c r="W226" i="5"/>
  <c r="W227" i="5"/>
  <c r="W233" i="5"/>
  <c r="W229" i="5"/>
  <c r="W234" i="5"/>
  <c r="W230" i="5"/>
  <c r="W235" i="5"/>
  <c r="W236" i="5"/>
  <c r="W237" i="5"/>
  <c r="V23" i="5"/>
  <c r="V11" i="5"/>
  <c r="V24" i="5"/>
  <c r="V12" i="5"/>
  <c r="V79" i="5"/>
  <c r="V3" i="5"/>
  <c r="V25" i="5"/>
  <c r="V4" i="5"/>
  <c r="V26" i="5"/>
  <c r="V55" i="5"/>
  <c r="V56" i="5"/>
  <c r="V57" i="5"/>
  <c r="V58" i="5"/>
  <c r="V5" i="5"/>
  <c r="V39" i="5"/>
  <c r="V160" i="5"/>
  <c r="V6" i="5"/>
  <c r="V7" i="5"/>
  <c r="V59" i="5"/>
  <c r="V60" i="5"/>
  <c r="V8" i="5"/>
  <c r="V27" i="5"/>
  <c r="V80" i="5"/>
  <c r="V61" i="5"/>
  <c r="V81" i="5"/>
  <c r="V82" i="5"/>
  <c r="V184" i="5"/>
  <c r="V83" i="5"/>
  <c r="V62" i="5"/>
  <c r="V28" i="5"/>
  <c r="V40" i="5"/>
  <c r="V103" i="5"/>
  <c r="V41" i="5"/>
  <c r="V84" i="5"/>
  <c r="V85" i="5"/>
  <c r="V86" i="5"/>
  <c r="V104" i="5"/>
  <c r="V87" i="5"/>
  <c r="V88" i="5"/>
  <c r="V161" i="5"/>
  <c r="V63" i="5"/>
  <c r="V130" i="5"/>
  <c r="V185" i="5"/>
  <c r="V131" i="5"/>
  <c r="V105" i="5"/>
  <c r="V132" i="5"/>
  <c r="V89" i="5"/>
  <c r="V42" i="5"/>
  <c r="V162" i="5"/>
  <c r="V186" i="5"/>
  <c r="V106" i="5"/>
  <c r="V9" i="5"/>
  <c r="V133" i="5"/>
  <c r="V90" i="5"/>
  <c r="V91" i="5"/>
  <c r="V13" i="5"/>
  <c r="V14" i="5"/>
  <c r="V107" i="5"/>
  <c r="V187" i="5"/>
  <c r="V188" i="5"/>
  <c r="V134" i="5"/>
  <c r="V15" i="5"/>
  <c r="V189" i="5"/>
  <c r="V108" i="5"/>
  <c r="V163" i="5"/>
  <c r="V43" i="5"/>
  <c r="V29" i="5"/>
  <c r="V164" i="5"/>
  <c r="V135" i="5"/>
  <c r="V92" i="5"/>
  <c r="V16" i="5"/>
  <c r="V190" i="5"/>
  <c r="V30" i="5"/>
  <c r="V165" i="5"/>
  <c r="V166" i="5"/>
  <c r="V44" i="5"/>
  <c r="V31" i="5"/>
  <c r="V17" i="5"/>
  <c r="V167" i="5"/>
  <c r="V10" i="5"/>
  <c r="V18" i="5"/>
  <c r="V64" i="5"/>
  <c r="V136" i="5"/>
  <c r="V32" i="5"/>
  <c r="V168" i="5"/>
  <c r="V45" i="5"/>
  <c r="V65" i="5"/>
  <c r="V137" i="5"/>
  <c r="V19" i="5"/>
  <c r="V191" i="5"/>
  <c r="V20" i="5"/>
  <c r="V33" i="5"/>
  <c r="V138" i="5"/>
  <c r="V169" i="5"/>
  <c r="V46" i="5"/>
  <c r="V223" i="5"/>
  <c r="V109" i="5"/>
  <c r="V170" i="5"/>
  <c r="V93" i="5"/>
  <c r="V34" i="5"/>
  <c r="V47" i="5"/>
  <c r="V35" i="5"/>
  <c r="V139" i="5"/>
  <c r="V21" i="5"/>
  <c r="V110" i="5"/>
  <c r="V66" i="5"/>
  <c r="V48" i="5"/>
  <c r="V171" i="5"/>
  <c r="V192" i="5"/>
  <c r="V140" i="5"/>
  <c r="V22" i="5"/>
  <c r="V49" i="5"/>
  <c r="V36" i="5"/>
  <c r="V50" i="5"/>
  <c r="V67" i="5"/>
  <c r="V172" i="5"/>
  <c r="V193" i="5"/>
  <c r="V141" i="5"/>
  <c r="V68" i="5"/>
  <c r="V111" i="5"/>
  <c r="V51" i="5"/>
  <c r="V69" i="5"/>
  <c r="V70" i="5"/>
  <c r="V94" i="5"/>
  <c r="V37" i="5"/>
  <c r="V38" i="5"/>
  <c r="V95" i="5"/>
  <c r="V71" i="5"/>
  <c r="V72" i="5"/>
  <c r="V112" i="5"/>
  <c r="V73" i="5"/>
  <c r="V113" i="5"/>
  <c r="V74" i="5"/>
  <c r="V142" i="5"/>
  <c r="V75" i="5"/>
  <c r="V143" i="5"/>
  <c r="V114" i="5"/>
  <c r="V52" i="5"/>
  <c r="V53" i="5"/>
  <c r="V76" i="5"/>
  <c r="V77" i="5"/>
  <c r="V96" i="5"/>
  <c r="V97" i="5"/>
  <c r="V54" i="5"/>
  <c r="V115" i="5"/>
  <c r="V144" i="5"/>
  <c r="V116" i="5"/>
  <c r="V194" i="5"/>
  <c r="V145" i="5"/>
  <c r="V146" i="5"/>
  <c r="V117" i="5"/>
  <c r="V98" i="5"/>
  <c r="V147" i="5"/>
  <c r="V148" i="5"/>
  <c r="V118" i="5"/>
  <c r="V119" i="5"/>
  <c r="V78" i="5"/>
  <c r="V149" i="5"/>
  <c r="V120" i="5"/>
  <c r="V99" i="5"/>
  <c r="V121" i="5"/>
  <c r="V100" i="5"/>
  <c r="V210" i="5"/>
  <c r="V122" i="5"/>
  <c r="V150" i="5"/>
  <c r="V231" i="5"/>
  <c r="V123" i="5"/>
  <c r="V151" i="5"/>
  <c r="V101" i="5"/>
  <c r="V124" i="5"/>
  <c r="V125" i="5"/>
  <c r="V173" i="5"/>
  <c r="V152" i="5"/>
  <c r="V195" i="5"/>
  <c r="V196" i="5"/>
  <c r="V153" i="5"/>
  <c r="V174" i="5"/>
  <c r="V154" i="5"/>
  <c r="V155" i="5"/>
  <c r="V102" i="5"/>
  <c r="V175" i="5"/>
  <c r="V156" i="5"/>
  <c r="V126" i="5"/>
  <c r="V127" i="5"/>
  <c r="V128" i="5"/>
  <c r="V176" i="5"/>
  <c r="V157" i="5"/>
  <c r="V216" i="5"/>
  <c r="V197" i="5"/>
  <c r="V129" i="5"/>
  <c r="V198" i="5"/>
  <c r="V199" i="5"/>
  <c r="V177" i="5"/>
  <c r="V178" i="5"/>
  <c r="V179" i="5"/>
  <c r="V158" i="5"/>
  <c r="V200" i="5"/>
  <c r="V180" i="5"/>
  <c r="V201" i="5"/>
  <c r="V159" i="5"/>
  <c r="V181" i="5"/>
  <c r="V217" i="5"/>
  <c r="V182" i="5"/>
  <c r="V211" i="5"/>
  <c r="V212" i="5"/>
  <c r="V202" i="5"/>
  <c r="V203" i="5"/>
  <c r="V218" i="5"/>
  <c r="V204" i="5"/>
  <c r="V205" i="5"/>
  <c r="V206" i="5"/>
  <c r="V207" i="5"/>
  <c r="V183" i="5"/>
  <c r="V213" i="5"/>
  <c r="V208" i="5"/>
  <c r="V209" i="5"/>
  <c r="V219" i="5"/>
  <c r="V214" i="5"/>
  <c r="V220" i="5"/>
  <c r="V215" i="5"/>
  <c r="V221" i="5"/>
  <c r="V224" i="5"/>
  <c r="V222" i="5"/>
  <c r="V225" i="5"/>
  <c r="V232" i="5"/>
  <c r="V228" i="5"/>
  <c r="V226" i="5"/>
  <c r="V227" i="5"/>
  <c r="V233" i="5"/>
  <c r="V229" i="5"/>
  <c r="V234" i="5"/>
  <c r="V230" i="5"/>
  <c r="V235" i="5"/>
  <c r="V236" i="5"/>
  <c r="V237" i="5"/>
  <c r="U23" i="5"/>
  <c r="U11" i="5"/>
  <c r="U24" i="5"/>
  <c r="U12" i="5"/>
  <c r="U79" i="5"/>
  <c r="U3" i="5"/>
  <c r="U25" i="5"/>
  <c r="U4" i="5"/>
  <c r="U26" i="5"/>
  <c r="U55" i="5"/>
  <c r="U56" i="5"/>
  <c r="U57" i="5"/>
  <c r="U58" i="5"/>
  <c r="U5" i="5"/>
  <c r="U39" i="5"/>
  <c r="U160" i="5"/>
  <c r="U6" i="5"/>
  <c r="U7" i="5"/>
  <c r="U59" i="5"/>
  <c r="U60" i="5"/>
  <c r="U8" i="5"/>
  <c r="U27" i="5"/>
  <c r="U80" i="5"/>
  <c r="U61" i="5"/>
  <c r="U81" i="5"/>
  <c r="U82" i="5"/>
  <c r="U184" i="5"/>
  <c r="U83" i="5"/>
  <c r="U62" i="5"/>
  <c r="U28" i="5"/>
  <c r="U40" i="5"/>
  <c r="U103" i="5"/>
  <c r="U41" i="5"/>
  <c r="U84" i="5"/>
  <c r="U85" i="5"/>
  <c r="U86" i="5"/>
  <c r="U104" i="5"/>
  <c r="U87" i="5"/>
  <c r="U88" i="5"/>
  <c r="U161" i="5"/>
  <c r="U63" i="5"/>
  <c r="U130" i="5"/>
  <c r="U185" i="5"/>
  <c r="U131" i="5"/>
  <c r="U105" i="5"/>
  <c r="U132" i="5"/>
  <c r="U89" i="5"/>
  <c r="U42" i="5"/>
  <c r="U162" i="5"/>
  <c r="U186" i="5"/>
  <c r="U106" i="5"/>
  <c r="U9" i="5"/>
  <c r="U133" i="5"/>
  <c r="U90" i="5"/>
  <c r="U91" i="5"/>
  <c r="U13" i="5"/>
  <c r="U14" i="5"/>
  <c r="U107" i="5"/>
  <c r="U187" i="5"/>
  <c r="U188" i="5"/>
  <c r="U134" i="5"/>
  <c r="U15" i="5"/>
  <c r="U189" i="5"/>
  <c r="U108" i="5"/>
  <c r="U163" i="5"/>
  <c r="U43" i="5"/>
  <c r="U29" i="5"/>
  <c r="U164" i="5"/>
  <c r="U135" i="5"/>
  <c r="U92" i="5"/>
  <c r="U16" i="5"/>
  <c r="U190" i="5"/>
  <c r="U30" i="5"/>
  <c r="U165" i="5"/>
  <c r="U166" i="5"/>
  <c r="U44" i="5"/>
  <c r="U31" i="5"/>
  <c r="U17" i="5"/>
  <c r="U167" i="5"/>
  <c r="U10" i="5"/>
  <c r="U18" i="5"/>
  <c r="U64" i="5"/>
  <c r="U136" i="5"/>
  <c r="U32" i="5"/>
  <c r="U168" i="5"/>
  <c r="U45" i="5"/>
  <c r="U65" i="5"/>
  <c r="U137" i="5"/>
  <c r="U19" i="5"/>
  <c r="U191" i="5"/>
  <c r="U20" i="5"/>
  <c r="U33" i="5"/>
  <c r="U138" i="5"/>
  <c r="U169" i="5"/>
  <c r="U46" i="5"/>
  <c r="U223" i="5"/>
  <c r="U109" i="5"/>
  <c r="U170" i="5"/>
  <c r="U93" i="5"/>
  <c r="U34" i="5"/>
  <c r="U47" i="5"/>
  <c r="U35" i="5"/>
  <c r="U139" i="5"/>
  <c r="U21" i="5"/>
  <c r="U110" i="5"/>
  <c r="U66" i="5"/>
  <c r="U48" i="5"/>
  <c r="U171" i="5"/>
  <c r="U192" i="5"/>
  <c r="U140" i="5"/>
  <c r="U22" i="5"/>
  <c r="U49" i="5"/>
  <c r="U36" i="5"/>
  <c r="U50" i="5"/>
  <c r="U67" i="5"/>
  <c r="U172" i="5"/>
  <c r="U193" i="5"/>
  <c r="U141" i="5"/>
  <c r="U68" i="5"/>
  <c r="U111" i="5"/>
  <c r="U51" i="5"/>
  <c r="U69" i="5"/>
  <c r="U70" i="5"/>
  <c r="U94" i="5"/>
  <c r="U37" i="5"/>
  <c r="U38" i="5"/>
  <c r="U95" i="5"/>
  <c r="U71" i="5"/>
  <c r="U72" i="5"/>
  <c r="U112" i="5"/>
  <c r="U73" i="5"/>
  <c r="U113" i="5"/>
  <c r="U74" i="5"/>
  <c r="U142" i="5"/>
  <c r="U75" i="5"/>
  <c r="U143" i="5"/>
  <c r="U114" i="5"/>
  <c r="U52" i="5"/>
  <c r="U53" i="5"/>
  <c r="U76" i="5"/>
  <c r="U77" i="5"/>
  <c r="U96" i="5"/>
  <c r="U97" i="5"/>
  <c r="U54" i="5"/>
  <c r="U115" i="5"/>
  <c r="U144" i="5"/>
  <c r="U116" i="5"/>
  <c r="U194" i="5"/>
  <c r="U145" i="5"/>
  <c r="U146" i="5"/>
  <c r="U117" i="5"/>
  <c r="U98" i="5"/>
  <c r="U147" i="5"/>
  <c r="U148" i="5"/>
  <c r="U118" i="5"/>
  <c r="U119" i="5"/>
  <c r="U78" i="5"/>
  <c r="U149" i="5"/>
  <c r="U120" i="5"/>
  <c r="U99" i="5"/>
  <c r="U121" i="5"/>
  <c r="U100" i="5"/>
  <c r="U210" i="5"/>
  <c r="U122" i="5"/>
  <c r="U150" i="5"/>
  <c r="U231" i="5"/>
  <c r="U123" i="5"/>
  <c r="U151" i="5"/>
  <c r="U101" i="5"/>
  <c r="U124" i="5"/>
  <c r="U125" i="5"/>
  <c r="U173" i="5"/>
  <c r="U152" i="5"/>
  <c r="U195" i="5"/>
  <c r="U196" i="5"/>
  <c r="U153" i="5"/>
  <c r="U174" i="5"/>
  <c r="U154" i="5"/>
  <c r="U155" i="5"/>
  <c r="U102" i="5"/>
  <c r="U175" i="5"/>
  <c r="U156" i="5"/>
  <c r="U126" i="5"/>
  <c r="U127" i="5"/>
  <c r="U128" i="5"/>
  <c r="U176" i="5"/>
  <c r="U157" i="5"/>
  <c r="U216" i="5"/>
  <c r="U197" i="5"/>
  <c r="U129" i="5"/>
  <c r="U198" i="5"/>
  <c r="U199" i="5"/>
  <c r="U177" i="5"/>
  <c r="U178" i="5"/>
  <c r="U179" i="5"/>
  <c r="U158" i="5"/>
  <c r="U200" i="5"/>
  <c r="U180" i="5"/>
  <c r="U201" i="5"/>
  <c r="U159" i="5"/>
  <c r="U181" i="5"/>
  <c r="U217" i="5"/>
  <c r="U182" i="5"/>
  <c r="U211" i="5"/>
  <c r="U212" i="5"/>
  <c r="U202" i="5"/>
  <c r="U203" i="5"/>
  <c r="U218" i="5"/>
  <c r="U204" i="5"/>
  <c r="U205" i="5"/>
  <c r="U206" i="5"/>
  <c r="U207" i="5"/>
  <c r="U183" i="5"/>
  <c r="U213" i="5"/>
  <c r="U208" i="5"/>
  <c r="U209" i="5"/>
  <c r="U219" i="5"/>
  <c r="U214" i="5"/>
  <c r="U220" i="5"/>
  <c r="U215" i="5"/>
  <c r="U221" i="5"/>
  <c r="U224" i="5"/>
  <c r="U222" i="5"/>
  <c r="U225" i="5"/>
  <c r="U232" i="5"/>
  <c r="U228" i="5"/>
  <c r="U226" i="5"/>
  <c r="U227" i="5"/>
  <c r="U233" i="5"/>
  <c r="U229" i="5"/>
  <c r="U234" i="5"/>
  <c r="U230" i="5"/>
  <c r="U235" i="5"/>
  <c r="U236" i="5"/>
  <c r="U237" i="5"/>
  <c r="T23" i="5"/>
  <c r="F23" i="5" s="1"/>
  <c r="T11" i="5"/>
  <c r="F11" i="5" s="1"/>
  <c r="T24" i="5"/>
  <c r="F24" i="5" s="1"/>
  <c r="T12" i="5"/>
  <c r="F12" i="5" s="1"/>
  <c r="T79" i="5"/>
  <c r="F79" i="5" s="1"/>
  <c r="F3" i="5"/>
  <c r="T25" i="5"/>
  <c r="F25" i="5" s="1"/>
  <c r="T4" i="5"/>
  <c r="F4" i="5" s="1"/>
  <c r="T26" i="5"/>
  <c r="F26" i="5" s="1"/>
  <c r="T55" i="5"/>
  <c r="F55" i="5" s="1"/>
  <c r="T56" i="5"/>
  <c r="F56" i="5" s="1"/>
  <c r="T57" i="5"/>
  <c r="F57" i="5" s="1"/>
  <c r="T58" i="5"/>
  <c r="F58" i="5" s="1"/>
  <c r="T5" i="5"/>
  <c r="F5" i="5" s="1"/>
  <c r="T39" i="5"/>
  <c r="F39" i="5" s="1"/>
  <c r="T160" i="5"/>
  <c r="F160" i="5" s="1"/>
  <c r="T6" i="5"/>
  <c r="F6" i="5" s="1"/>
  <c r="T7" i="5"/>
  <c r="F7" i="5" s="1"/>
  <c r="T59" i="5"/>
  <c r="F59" i="5" s="1"/>
  <c r="T60" i="5"/>
  <c r="F60" i="5" s="1"/>
  <c r="T8" i="5"/>
  <c r="F8" i="5" s="1"/>
  <c r="T27" i="5"/>
  <c r="F27" i="5" s="1"/>
  <c r="T80" i="5"/>
  <c r="F80" i="5" s="1"/>
  <c r="T61" i="5"/>
  <c r="F61" i="5" s="1"/>
  <c r="T81" i="5"/>
  <c r="F81" i="5" s="1"/>
  <c r="T82" i="5"/>
  <c r="F82" i="5" s="1"/>
  <c r="T184" i="5"/>
  <c r="F184" i="5" s="1"/>
  <c r="T83" i="5"/>
  <c r="F83" i="5" s="1"/>
  <c r="T62" i="5"/>
  <c r="F62" i="5" s="1"/>
  <c r="T28" i="5"/>
  <c r="F28" i="5" s="1"/>
  <c r="T40" i="5"/>
  <c r="F40" i="5" s="1"/>
  <c r="T103" i="5"/>
  <c r="F103" i="5" s="1"/>
  <c r="T41" i="5"/>
  <c r="F41" i="5" s="1"/>
  <c r="T84" i="5"/>
  <c r="F84" i="5" s="1"/>
  <c r="T85" i="5"/>
  <c r="F85" i="5" s="1"/>
  <c r="T86" i="5"/>
  <c r="F86" i="5" s="1"/>
  <c r="T104" i="5"/>
  <c r="F104" i="5" s="1"/>
  <c r="T87" i="5"/>
  <c r="F87" i="5" s="1"/>
  <c r="T88" i="5"/>
  <c r="F88" i="5" s="1"/>
  <c r="T161" i="5"/>
  <c r="F161" i="5" s="1"/>
  <c r="T63" i="5"/>
  <c r="F63" i="5" s="1"/>
  <c r="T130" i="5"/>
  <c r="F130" i="5" s="1"/>
  <c r="T185" i="5"/>
  <c r="F185" i="5" s="1"/>
  <c r="T131" i="5"/>
  <c r="F131" i="5" s="1"/>
  <c r="T105" i="5"/>
  <c r="F105" i="5" s="1"/>
  <c r="T132" i="5"/>
  <c r="F132" i="5" s="1"/>
  <c r="T89" i="5"/>
  <c r="F89" i="5" s="1"/>
  <c r="T42" i="5"/>
  <c r="F42" i="5" s="1"/>
  <c r="T162" i="5"/>
  <c r="F162" i="5" s="1"/>
  <c r="T186" i="5"/>
  <c r="F186" i="5" s="1"/>
  <c r="T106" i="5"/>
  <c r="F106" i="5" s="1"/>
  <c r="T9" i="5"/>
  <c r="F9" i="5" s="1"/>
  <c r="T133" i="5"/>
  <c r="F133" i="5" s="1"/>
  <c r="T90" i="5"/>
  <c r="F90" i="5" s="1"/>
  <c r="T91" i="5"/>
  <c r="F91" i="5" s="1"/>
  <c r="T13" i="5"/>
  <c r="F13" i="5" s="1"/>
  <c r="T14" i="5"/>
  <c r="F14" i="5" s="1"/>
  <c r="T107" i="5"/>
  <c r="F107" i="5" s="1"/>
  <c r="T187" i="5"/>
  <c r="F187" i="5" s="1"/>
  <c r="T188" i="5"/>
  <c r="F188" i="5" s="1"/>
  <c r="T134" i="5"/>
  <c r="F134" i="5" s="1"/>
  <c r="T15" i="5"/>
  <c r="F15" i="5" s="1"/>
  <c r="T189" i="5"/>
  <c r="F189" i="5" s="1"/>
  <c r="T108" i="5"/>
  <c r="F108" i="5" s="1"/>
  <c r="T163" i="5"/>
  <c r="F163" i="5" s="1"/>
  <c r="T43" i="5"/>
  <c r="F43" i="5" s="1"/>
  <c r="T29" i="5"/>
  <c r="F29" i="5" s="1"/>
  <c r="T164" i="5"/>
  <c r="F164" i="5" s="1"/>
  <c r="T135" i="5"/>
  <c r="F135" i="5" s="1"/>
  <c r="T92" i="5"/>
  <c r="F92" i="5" s="1"/>
  <c r="T16" i="5"/>
  <c r="F16" i="5" s="1"/>
  <c r="T190" i="5"/>
  <c r="F190" i="5" s="1"/>
  <c r="T30" i="5"/>
  <c r="F30" i="5" s="1"/>
  <c r="T165" i="5"/>
  <c r="F165" i="5" s="1"/>
  <c r="T166" i="5"/>
  <c r="F166" i="5" s="1"/>
  <c r="T44" i="5"/>
  <c r="F44" i="5" s="1"/>
  <c r="T31" i="5"/>
  <c r="F31" i="5" s="1"/>
  <c r="T17" i="5"/>
  <c r="F17" i="5" s="1"/>
  <c r="T167" i="5"/>
  <c r="F167" i="5" s="1"/>
  <c r="T10" i="5"/>
  <c r="F10" i="5" s="1"/>
  <c r="T18" i="5"/>
  <c r="F18" i="5" s="1"/>
  <c r="T64" i="5"/>
  <c r="F64" i="5" s="1"/>
  <c r="T136" i="5"/>
  <c r="F136" i="5" s="1"/>
  <c r="T32" i="5"/>
  <c r="F32" i="5" s="1"/>
  <c r="T168" i="5"/>
  <c r="F168" i="5" s="1"/>
  <c r="T45" i="5"/>
  <c r="F45" i="5" s="1"/>
  <c r="T65" i="5"/>
  <c r="F65" i="5" s="1"/>
  <c r="T137" i="5"/>
  <c r="F137" i="5" s="1"/>
  <c r="T19" i="5"/>
  <c r="F19" i="5" s="1"/>
  <c r="T191" i="5"/>
  <c r="F191" i="5" s="1"/>
  <c r="T20" i="5"/>
  <c r="F20" i="5" s="1"/>
  <c r="T33" i="5"/>
  <c r="F33" i="5" s="1"/>
  <c r="T138" i="5"/>
  <c r="F138" i="5" s="1"/>
  <c r="T169" i="5"/>
  <c r="F169" i="5" s="1"/>
  <c r="T46" i="5"/>
  <c r="F46" i="5" s="1"/>
  <c r="T223" i="5"/>
  <c r="F223" i="5" s="1"/>
  <c r="T109" i="5"/>
  <c r="F109" i="5" s="1"/>
  <c r="T170" i="5"/>
  <c r="F170" i="5" s="1"/>
  <c r="T93" i="5"/>
  <c r="F93" i="5" s="1"/>
  <c r="T34" i="5"/>
  <c r="F34" i="5" s="1"/>
  <c r="T47" i="5"/>
  <c r="F47" i="5" s="1"/>
  <c r="T35" i="5"/>
  <c r="F35" i="5" s="1"/>
  <c r="T139" i="5"/>
  <c r="F139" i="5" s="1"/>
  <c r="T21" i="5"/>
  <c r="F21" i="5" s="1"/>
  <c r="T110" i="5"/>
  <c r="F110" i="5" s="1"/>
  <c r="T66" i="5"/>
  <c r="F66" i="5" s="1"/>
  <c r="T48" i="5"/>
  <c r="F48" i="5" s="1"/>
  <c r="T171" i="5"/>
  <c r="F171" i="5" s="1"/>
  <c r="T192" i="5"/>
  <c r="F192" i="5" s="1"/>
  <c r="T140" i="5"/>
  <c r="F140" i="5" s="1"/>
  <c r="T22" i="5"/>
  <c r="F22" i="5" s="1"/>
  <c r="T49" i="5"/>
  <c r="F49" i="5" s="1"/>
  <c r="T36" i="5"/>
  <c r="F36" i="5" s="1"/>
  <c r="T50" i="5"/>
  <c r="F50" i="5" s="1"/>
  <c r="T67" i="5"/>
  <c r="F67" i="5" s="1"/>
  <c r="T172" i="5"/>
  <c r="F172" i="5" s="1"/>
  <c r="T193" i="5"/>
  <c r="F193" i="5" s="1"/>
  <c r="T141" i="5"/>
  <c r="F141" i="5" s="1"/>
  <c r="T68" i="5"/>
  <c r="F68" i="5" s="1"/>
  <c r="T111" i="5"/>
  <c r="F111" i="5" s="1"/>
  <c r="T51" i="5"/>
  <c r="F51" i="5" s="1"/>
  <c r="T69" i="5"/>
  <c r="F69" i="5" s="1"/>
  <c r="T70" i="5"/>
  <c r="F70" i="5" s="1"/>
  <c r="T94" i="5"/>
  <c r="F94" i="5" s="1"/>
  <c r="T37" i="5"/>
  <c r="F37" i="5" s="1"/>
  <c r="T38" i="5"/>
  <c r="F38" i="5" s="1"/>
  <c r="T95" i="5"/>
  <c r="F95" i="5" s="1"/>
  <c r="T71" i="5"/>
  <c r="F71" i="5" s="1"/>
  <c r="T72" i="5"/>
  <c r="F72" i="5" s="1"/>
  <c r="T112" i="5"/>
  <c r="F112" i="5" s="1"/>
  <c r="T73" i="5"/>
  <c r="F73" i="5" s="1"/>
  <c r="T113" i="5"/>
  <c r="F113" i="5" s="1"/>
  <c r="T74" i="5"/>
  <c r="F74" i="5" s="1"/>
  <c r="T142" i="5"/>
  <c r="F142" i="5" s="1"/>
  <c r="T75" i="5"/>
  <c r="F75" i="5" s="1"/>
  <c r="T143" i="5"/>
  <c r="F143" i="5" s="1"/>
  <c r="T114" i="5"/>
  <c r="F114" i="5" s="1"/>
  <c r="T52" i="5"/>
  <c r="F52" i="5" s="1"/>
  <c r="T53" i="5"/>
  <c r="F53" i="5" s="1"/>
  <c r="T76" i="5"/>
  <c r="F76" i="5" s="1"/>
  <c r="T77" i="5"/>
  <c r="F77" i="5" s="1"/>
  <c r="T96" i="5"/>
  <c r="F96" i="5" s="1"/>
  <c r="T97" i="5"/>
  <c r="F97" i="5" s="1"/>
  <c r="T54" i="5"/>
  <c r="F54" i="5" s="1"/>
  <c r="T115" i="5"/>
  <c r="F115" i="5" s="1"/>
  <c r="T144" i="5"/>
  <c r="F144" i="5" s="1"/>
  <c r="T116" i="5"/>
  <c r="F116" i="5" s="1"/>
  <c r="T194" i="5"/>
  <c r="F194" i="5" s="1"/>
  <c r="T145" i="5"/>
  <c r="F145" i="5" s="1"/>
  <c r="T146" i="5"/>
  <c r="F146" i="5" s="1"/>
  <c r="T117" i="5"/>
  <c r="F117" i="5" s="1"/>
  <c r="T98" i="5"/>
  <c r="F98" i="5" s="1"/>
  <c r="T147" i="5"/>
  <c r="F147" i="5" s="1"/>
  <c r="T148" i="5"/>
  <c r="F148" i="5" s="1"/>
  <c r="T118" i="5"/>
  <c r="F118" i="5" s="1"/>
  <c r="T119" i="5"/>
  <c r="F119" i="5" s="1"/>
  <c r="T78" i="5"/>
  <c r="F78" i="5" s="1"/>
  <c r="T149" i="5"/>
  <c r="F149" i="5" s="1"/>
  <c r="T120" i="5"/>
  <c r="F120" i="5" s="1"/>
  <c r="T99" i="5"/>
  <c r="F99" i="5" s="1"/>
  <c r="T121" i="5"/>
  <c r="F121" i="5" s="1"/>
  <c r="T100" i="5"/>
  <c r="F100" i="5" s="1"/>
  <c r="T210" i="5"/>
  <c r="F210" i="5" s="1"/>
  <c r="T122" i="5"/>
  <c r="F122" i="5" s="1"/>
  <c r="T150" i="5"/>
  <c r="F150" i="5" s="1"/>
  <c r="T231" i="5"/>
  <c r="F231" i="5" s="1"/>
  <c r="T123" i="5"/>
  <c r="F123" i="5" s="1"/>
  <c r="T151" i="5"/>
  <c r="F151" i="5" s="1"/>
  <c r="T101" i="5"/>
  <c r="F101" i="5" s="1"/>
  <c r="T124" i="5"/>
  <c r="F124" i="5" s="1"/>
  <c r="T125" i="5"/>
  <c r="F125" i="5" s="1"/>
  <c r="T173" i="5"/>
  <c r="F173" i="5" s="1"/>
  <c r="T152" i="5"/>
  <c r="F152" i="5" s="1"/>
  <c r="T195" i="5"/>
  <c r="F195" i="5" s="1"/>
  <c r="T196" i="5"/>
  <c r="F196" i="5" s="1"/>
  <c r="T153" i="5"/>
  <c r="F153" i="5" s="1"/>
  <c r="T174" i="5"/>
  <c r="F174" i="5" s="1"/>
  <c r="T154" i="5"/>
  <c r="F154" i="5" s="1"/>
  <c r="T155" i="5"/>
  <c r="F155" i="5" s="1"/>
  <c r="T102" i="5"/>
  <c r="F102" i="5" s="1"/>
  <c r="T175" i="5"/>
  <c r="F175" i="5" s="1"/>
  <c r="T156" i="5"/>
  <c r="F156" i="5" s="1"/>
  <c r="T126" i="5"/>
  <c r="F126" i="5" s="1"/>
  <c r="T127" i="5"/>
  <c r="F127" i="5" s="1"/>
  <c r="T128" i="5"/>
  <c r="F128" i="5" s="1"/>
  <c r="T176" i="5"/>
  <c r="F176" i="5" s="1"/>
  <c r="T157" i="5"/>
  <c r="F157" i="5" s="1"/>
  <c r="T216" i="5"/>
  <c r="F216" i="5" s="1"/>
  <c r="T197" i="5"/>
  <c r="F197" i="5" s="1"/>
  <c r="T129" i="5"/>
  <c r="F129" i="5" s="1"/>
  <c r="T198" i="5"/>
  <c r="F198" i="5" s="1"/>
  <c r="T199" i="5"/>
  <c r="F199" i="5" s="1"/>
  <c r="T177" i="5"/>
  <c r="F177" i="5" s="1"/>
  <c r="T178" i="5"/>
  <c r="F178" i="5" s="1"/>
  <c r="T179" i="5"/>
  <c r="F179" i="5" s="1"/>
  <c r="T158" i="5"/>
  <c r="F158" i="5" s="1"/>
  <c r="T200" i="5"/>
  <c r="F200" i="5" s="1"/>
  <c r="T180" i="5"/>
  <c r="F180" i="5" s="1"/>
  <c r="T201" i="5"/>
  <c r="F201" i="5" s="1"/>
  <c r="T159" i="5"/>
  <c r="F159" i="5" s="1"/>
  <c r="T181" i="5"/>
  <c r="F181" i="5" s="1"/>
  <c r="T217" i="5"/>
  <c r="F217" i="5" s="1"/>
  <c r="T182" i="5"/>
  <c r="F182" i="5" s="1"/>
  <c r="T211" i="5"/>
  <c r="F211" i="5" s="1"/>
  <c r="T212" i="5"/>
  <c r="F212" i="5" s="1"/>
  <c r="T202" i="5"/>
  <c r="F202" i="5" s="1"/>
  <c r="T203" i="5"/>
  <c r="F203" i="5" s="1"/>
  <c r="T218" i="5"/>
  <c r="F218" i="5" s="1"/>
  <c r="T204" i="5"/>
  <c r="F204" i="5" s="1"/>
  <c r="T205" i="5"/>
  <c r="F205" i="5" s="1"/>
  <c r="T206" i="5"/>
  <c r="F206" i="5" s="1"/>
  <c r="T207" i="5"/>
  <c r="F207" i="5" s="1"/>
  <c r="T183" i="5"/>
  <c r="F183" i="5" s="1"/>
  <c r="T213" i="5"/>
  <c r="F213" i="5" s="1"/>
  <c r="T208" i="5"/>
  <c r="F208" i="5" s="1"/>
  <c r="T209" i="5"/>
  <c r="F209" i="5" s="1"/>
  <c r="T219" i="5"/>
  <c r="F219" i="5" s="1"/>
  <c r="T214" i="5"/>
  <c r="F214" i="5" s="1"/>
  <c r="T220" i="5"/>
  <c r="F220" i="5" s="1"/>
  <c r="T215" i="5"/>
  <c r="F215" i="5" s="1"/>
  <c r="T221" i="5"/>
  <c r="F221" i="5" s="1"/>
  <c r="T224" i="5"/>
  <c r="F224" i="5" s="1"/>
  <c r="T222" i="5"/>
  <c r="F222" i="5" s="1"/>
  <c r="T225" i="5"/>
  <c r="F225" i="5" s="1"/>
  <c r="T232" i="5"/>
  <c r="F232" i="5" s="1"/>
  <c r="T228" i="5"/>
  <c r="F228" i="5" s="1"/>
  <c r="T226" i="5"/>
  <c r="F226" i="5" s="1"/>
  <c r="T227" i="5"/>
  <c r="F227" i="5" s="1"/>
  <c r="T233" i="5"/>
  <c r="F233" i="5" s="1"/>
  <c r="T229" i="5"/>
  <c r="F229" i="5" s="1"/>
  <c r="T234" i="5"/>
  <c r="F234" i="5" s="1"/>
  <c r="T230" i="5"/>
  <c r="F230" i="5" s="1"/>
  <c r="T235" i="5"/>
  <c r="F235" i="5" s="1"/>
  <c r="T236" i="5"/>
  <c r="F236" i="5" s="1"/>
  <c r="T237" i="5"/>
  <c r="F237" i="5" s="1"/>
  <c r="M23" i="2"/>
  <c r="N23" i="2" s="1"/>
  <c r="M24" i="2"/>
  <c r="N24" i="2" s="1"/>
  <c r="M25" i="2"/>
  <c r="N25" i="2"/>
  <c r="M26" i="2"/>
  <c r="N26" i="2"/>
  <c r="V26" i="2" s="1"/>
  <c r="M27" i="2"/>
  <c r="N27" i="2"/>
  <c r="M28" i="2"/>
  <c r="N28" i="2" s="1"/>
  <c r="M29" i="2"/>
  <c r="N29" i="2" s="1"/>
  <c r="V29" i="2" s="1"/>
  <c r="M30" i="2"/>
  <c r="N30" i="2"/>
  <c r="V30" i="2" s="1"/>
  <c r="M31" i="2"/>
  <c r="N31" i="2" s="1"/>
  <c r="V31" i="2" s="1"/>
  <c r="M32" i="2"/>
  <c r="N32" i="2"/>
  <c r="M33" i="2"/>
  <c r="N33" i="2" s="1"/>
  <c r="V33" i="2" s="1"/>
  <c r="M34" i="2"/>
  <c r="N34" i="2" s="1"/>
  <c r="V34" i="2" s="1"/>
  <c r="M35" i="2"/>
  <c r="N35" i="2"/>
  <c r="M36" i="2"/>
  <c r="N36" i="2"/>
  <c r="M37" i="2"/>
  <c r="N37" i="2" s="1"/>
  <c r="M38" i="2"/>
  <c r="N38" i="2" s="1"/>
  <c r="V38" i="2" s="1"/>
  <c r="M39" i="2"/>
  <c r="N39" i="2" s="1"/>
  <c r="V39" i="2" s="1"/>
  <c r="M40" i="2"/>
  <c r="N40" i="2"/>
  <c r="U23" i="2"/>
  <c r="U24" i="2"/>
  <c r="U25" i="2"/>
  <c r="V25" i="2" s="1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21" i="2"/>
  <c r="U22" i="2"/>
  <c r="M21" i="2"/>
  <c r="N21" i="2" s="1"/>
  <c r="M22" i="2"/>
  <c r="N22" i="2" s="1"/>
  <c r="V22" i="2" s="1"/>
  <c r="M20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M8" i="2"/>
  <c r="N8" i="2" s="1"/>
  <c r="M9" i="2"/>
  <c r="N9" i="2" s="1"/>
  <c r="V9" i="2" s="1"/>
  <c r="M10" i="2"/>
  <c r="N10" i="2" s="1"/>
  <c r="V10" i="2" s="1"/>
  <c r="M11" i="2"/>
  <c r="N11" i="2" s="1"/>
  <c r="V11" i="2" s="1"/>
  <c r="M12" i="2"/>
  <c r="N12" i="2" s="1"/>
  <c r="V12" i="2" s="1"/>
  <c r="M13" i="2"/>
  <c r="N13" i="2" s="1"/>
  <c r="V13" i="2" s="1"/>
  <c r="M14" i="2"/>
  <c r="N14" i="2"/>
  <c r="V14" i="2" s="1"/>
  <c r="M15" i="2"/>
  <c r="N15" i="2"/>
  <c r="V15" i="2" s="1"/>
  <c r="M16" i="2"/>
  <c r="N16" i="2" s="1"/>
  <c r="V16" i="2" s="1"/>
  <c r="M17" i="2"/>
  <c r="N17" i="2" s="1"/>
  <c r="V17" i="2" s="1"/>
  <c r="M18" i="2"/>
  <c r="N18" i="2" s="1"/>
  <c r="V18" i="2" s="1"/>
  <c r="M19" i="2"/>
  <c r="N19" i="2" s="1"/>
  <c r="V19" i="2" s="1"/>
  <c r="N20" i="2"/>
  <c r="U6" i="2"/>
  <c r="U7" i="2"/>
  <c r="U5" i="2"/>
  <c r="M6" i="2"/>
  <c r="N6" i="2" s="1"/>
  <c r="V6" i="2" s="1"/>
  <c r="M7" i="2"/>
  <c r="N7" i="2" s="1"/>
  <c r="V7" i="2" s="1"/>
  <c r="M5" i="2"/>
  <c r="N5" i="2" s="1"/>
  <c r="V5" i="2" s="1"/>
  <c r="AE20" i="1"/>
  <c r="AE21" i="1"/>
  <c r="AE22" i="1"/>
  <c r="AE23" i="1"/>
  <c r="AE19" i="1"/>
  <c r="AE10" i="1"/>
  <c r="AE11" i="1"/>
  <c r="AE12" i="1"/>
  <c r="AE13" i="1"/>
  <c r="AE9" i="1"/>
  <c r="AD3" i="1"/>
  <c r="AA763" i="1" s="1"/>
  <c r="N160" i="5" l="1"/>
  <c r="N103" i="5"/>
  <c r="N42" i="5"/>
  <c r="N108" i="5"/>
  <c r="N10" i="5"/>
  <c r="N223" i="5"/>
  <c r="N49" i="5"/>
  <c r="N71" i="5"/>
  <c r="N54" i="5"/>
  <c r="N99" i="5"/>
  <c r="N153" i="5"/>
  <c r="N199" i="5"/>
  <c r="N218" i="5"/>
  <c r="N225" i="5"/>
  <c r="N23" i="5"/>
  <c r="N6" i="5"/>
  <c r="N41" i="5"/>
  <c r="N162" i="5"/>
  <c r="N163" i="5"/>
  <c r="N18" i="5"/>
  <c r="N109" i="5"/>
  <c r="N36" i="5"/>
  <c r="N72" i="5"/>
  <c r="N115" i="5"/>
  <c r="N121" i="5"/>
  <c r="N174" i="5"/>
  <c r="N177" i="5"/>
  <c r="N204" i="5"/>
  <c r="N232" i="5"/>
  <c r="N11" i="5"/>
  <c r="N7" i="5"/>
  <c r="N84" i="5"/>
  <c r="N186" i="5"/>
  <c r="N43" i="5"/>
  <c r="N64" i="5"/>
  <c r="N170" i="5"/>
  <c r="N50" i="5"/>
  <c r="N112" i="5"/>
  <c r="N144" i="5"/>
  <c r="N100" i="5"/>
  <c r="N154" i="5"/>
  <c r="N178" i="5"/>
  <c r="N205" i="5"/>
  <c r="N228" i="5"/>
  <c r="H24" i="5"/>
  <c r="G24" i="5" s="1"/>
  <c r="N59" i="5"/>
  <c r="H59" i="5" s="1"/>
  <c r="G59" i="5" s="1"/>
  <c r="N85" i="5"/>
  <c r="H85" i="5" s="1"/>
  <c r="G85" i="5" s="1"/>
  <c r="N106" i="5"/>
  <c r="H106" i="5" s="1"/>
  <c r="G106" i="5" s="1"/>
  <c r="N29" i="5"/>
  <c r="H29" i="5" s="1"/>
  <c r="G29" i="5" s="1"/>
  <c r="N136" i="5"/>
  <c r="H136" i="5" s="1"/>
  <c r="G136" i="5" s="1"/>
  <c r="N93" i="5"/>
  <c r="H93" i="5" s="1"/>
  <c r="G93" i="5" s="1"/>
  <c r="N67" i="5"/>
  <c r="H67" i="5" s="1"/>
  <c r="G67" i="5" s="1"/>
  <c r="N73" i="5"/>
  <c r="H73" i="5" s="1"/>
  <c r="G73" i="5" s="1"/>
  <c r="N116" i="5"/>
  <c r="H116" i="5" s="1"/>
  <c r="G116" i="5" s="1"/>
  <c r="N210" i="5"/>
  <c r="H210" i="5" s="1"/>
  <c r="G210" i="5" s="1"/>
  <c r="N155" i="5"/>
  <c r="H155" i="5" s="1"/>
  <c r="G155" i="5" s="1"/>
  <c r="N179" i="5"/>
  <c r="H179" i="5" s="1"/>
  <c r="G179" i="5" s="1"/>
  <c r="N206" i="5"/>
  <c r="H206" i="5" s="1"/>
  <c r="G206" i="5" s="1"/>
  <c r="N226" i="5"/>
  <c r="H226" i="5" s="1"/>
  <c r="G226" i="5" s="1"/>
  <c r="N12" i="5"/>
  <c r="H12" i="5" s="1"/>
  <c r="G12" i="5" s="1"/>
  <c r="N60" i="5"/>
  <c r="H60" i="5" s="1"/>
  <c r="G60" i="5" s="1"/>
  <c r="N86" i="5"/>
  <c r="H86" i="5" s="1"/>
  <c r="G86" i="5" s="1"/>
  <c r="N9" i="5"/>
  <c r="H9" i="5" s="1"/>
  <c r="G9" i="5" s="1"/>
  <c r="N164" i="5"/>
  <c r="H164" i="5" s="1"/>
  <c r="G164" i="5" s="1"/>
  <c r="N32" i="5"/>
  <c r="H32" i="5" s="1"/>
  <c r="G32" i="5" s="1"/>
  <c r="N34" i="5"/>
  <c r="H34" i="5" s="1"/>
  <c r="G34" i="5" s="1"/>
  <c r="N172" i="5"/>
  <c r="H172" i="5" s="1"/>
  <c r="G172" i="5" s="1"/>
  <c r="N113" i="5"/>
  <c r="H113" i="5" s="1"/>
  <c r="G113" i="5" s="1"/>
  <c r="N194" i="5"/>
  <c r="H194" i="5" s="1"/>
  <c r="G194" i="5" s="1"/>
  <c r="N122" i="5"/>
  <c r="H122" i="5" s="1"/>
  <c r="G122" i="5" s="1"/>
  <c r="N102" i="5"/>
  <c r="H102" i="5" s="1"/>
  <c r="G102" i="5" s="1"/>
  <c r="N158" i="5"/>
  <c r="H158" i="5" s="1"/>
  <c r="G158" i="5" s="1"/>
  <c r="N207" i="5"/>
  <c r="H207" i="5" s="1"/>
  <c r="G207" i="5" s="1"/>
  <c r="N227" i="5"/>
  <c r="H227" i="5" s="1"/>
  <c r="G227" i="5" s="1"/>
  <c r="N79" i="5"/>
  <c r="N8" i="5"/>
  <c r="N104" i="5"/>
  <c r="N133" i="5"/>
  <c r="N135" i="5"/>
  <c r="N168" i="5"/>
  <c r="N47" i="5"/>
  <c r="N193" i="5"/>
  <c r="N74" i="5"/>
  <c r="N145" i="5"/>
  <c r="N150" i="5"/>
  <c r="N175" i="5"/>
  <c r="N200" i="5"/>
  <c r="N183" i="5"/>
  <c r="N233" i="5"/>
  <c r="N3" i="5"/>
  <c r="N27" i="5"/>
  <c r="N87" i="5"/>
  <c r="N90" i="5"/>
  <c r="N92" i="5"/>
  <c r="N45" i="5"/>
  <c r="N35" i="5"/>
  <c r="N141" i="5"/>
  <c r="N142" i="5"/>
  <c r="N146" i="5"/>
  <c r="N231" i="5"/>
  <c r="N156" i="5"/>
  <c r="N180" i="5"/>
  <c r="N213" i="5"/>
  <c r="N229" i="5"/>
  <c r="N25" i="5"/>
  <c r="N80" i="5"/>
  <c r="N88" i="5"/>
  <c r="N91" i="5"/>
  <c r="N16" i="5"/>
  <c r="N65" i="5"/>
  <c r="N139" i="5"/>
  <c r="N68" i="5"/>
  <c r="N75" i="5"/>
  <c r="N117" i="5"/>
  <c r="N123" i="5"/>
  <c r="N126" i="5"/>
  <c r="N201" i="5"/>
  <c r="N208" i="5"/>
  <c r="N234" i="5"/>
  <c r="N4" i="5"/>
  <c r="N61" i="5"/>
  <c r="N161" i="5"/>
  <c r="N13" i="5"/>
  <c r="N190" i="5"/>
  <c r="N137" i="5"/>
  <c r="N21" i="5"/>
  <c r="N111" i="5"/>
  <c r="N143" i="5"/>
  <c r="N98" i="5"/>
  <c r="N151" i="5"/>
  <c r="N127" i="5"/>
  <c r="N159" i="5"/>
  <c r="N209" i="5"/>
  <c r="N230" i="5"/>
  <c r="N26" i="5"/>
  <c r="N81" i="5"/>
  <c r="N63" i="5"/>
  <c r="N14" i="5"/>
  <c r="N30" i="5"/>
  <c r="N19" i="5"/>
  <c r="N110" i="5"/>
  <c r="N51" i="5"/>
  <c r="N114" i="5"/>
  <c r="N147" i="5"/>
  <c r="N101" i="5"/>
  <c r="N128" i="5"/>
  <c r="N181" i="5"/>
  <c r="N219" i="5"/>
  <c r="N235" i="5"/>
  <c r="H235" i="5" s="1"/>
  <c r="G235" i="5" s="1"/>
  <c r="N55" i="5"/>
  <c r="N82" i="5"/>
  <c r="N130" i="5"/>
  <c r="N107" i="5"/>
  <c r="N165" i="5"/>
  <c r="N191" i="5"/>
  <c r="N66" i="5"/>
  <c r="N69" i="5"/>
  <c r="N52" i="5"/>
  <c r="N148" i="5"/>
  <c r="N124" i="5"/>
  <c r="N176" i="5"/>
  <c r="N217" i="5"/>
  <c r="N214" i="5"/>
  <c r="N236" i="5"/>
  <c r="N56" i="5"/>
  <c r="N184" i="5"/>
  <c r="N185" i="5"/>
  <c r="N187" i="5"/>
  <c r="N166" i="5"/>
  <c r="N20" i="5"/>
  <c r="N48" i="5"/>
  <c r="N70" i="5"/>
  <c r="N53" i="5"/>
  <c r="N118" i="5"/>
  <c r="N125" i="5"/>
  <c r="N157" i="5"/>
  <c r="N182" i="5"/>
  <c r="N220" i="5"/>
  <c r="N237" i="5"/>
  <c r="H237" i="5" s="1"/>
  <c r="G237" i="5" s="1"/>
  <c r="N57" i="5"/>
  <c r="N83" i="5"/>
  <c r="N131" i="5"/>
  <c r="N188" i="5"/>
  <c r="N44" i="5"/>
  <c r="N33" i="5"/>
  <c r="N171" i="5"/>
  <c r="N94" i="5"/>
  <c r="N76" i="5"/>
  <c r="N119" i="5"/>
  <c r="N173" i="5"/>
  <c r="N216" i="5"/>
  <c r="N211" i="5"/>
  <c r="N215" i="5"/>
  <c r="N58" i="5"/>
  <c r="N62" i="5"/>
  <c r="N105" i="5"/>
  <c r="N134" i="5"/>
  <c r="N31" i="5"/>
  <c r="N138" i="5"/>
  <c r="N192" i="5"/>
  <c r="N37" i="5"/>
  <c r="N77" i="5"/>
  <c r="N78" i="5"/>
  <c r="N152" i="5"/>
  <c r="N197" i="5"/>
  <c r="N212" i="5"/>
  <c r="N221" i="5"/>
  <c r="N5" i="5"/>
  <c r="N28" i="5"/>
  <c r="N132" i="5"/>
  <c r="N15" i="5"/>
  <c r="N17" i="5"/>
  <c r="N169" i="5"/>
  <c r="N140" i="5"/>
  <c r="N38" i="5"/>
  <c r="N96" i="5"/>
  <c r="N149" i="5"/>
  <c r="H149" i="5" s="1"/>
  <c r="G149" i="5" s="1"/>
  <c r="N195" i="5"/>
  <c r="H195" i="5" s="1"/>
  <c r="G195" i="5" s="1"/>
  <c r="N129" i="5"/>
  <c r="H129" i="5" s="1"/>
  <c r="G129" i="5" s="1"/>
  <c r="N202" i="5"/>
  <c r="H202" i="5" s="1"/>
  <c r="G202" i="5" s="1"/>
  <c r="N224" i="5"/>
  <c r="H224" i="5" s="1"/>
  <c r="G224" i="5" s="1"/>
  <c r="N39" i="5"/>
  <c r="N40" i="5"/>
  <c r="N89" i="5"/>
  <c r="N189" i="5"/>
  <c r="N167" i="5"/>
  <c r="N46" i="5"/>
  <c r="N22" i="5"/>
  <c r="N95" i="5"/>
  <c r="N97" i="5"/>
  <c r="N120" i="5"/>
  <c r="N196" i="5"/>
  <c r="N198" i="5"/>
  <c r="N203" i="5"/>
  <c r="N222" i="5"/>
  <c r="M228" i="5"/>
  <c r="M205" i="5"/>
  <c r="M178" i="5"/>
  <c r="M154" i="5"/>
  <c r="M100" i="5"/>
  <c r="M144" i="5"/>
  <c r="M112" i="5"/>
  <c r="M50" i="5"/>
  <c r="M170" i="5"/>
  <c r="M64" i="5"/>
  <c r="M43" i="5"/>
  <c r="M186" i="5"/>
  <c r="M84" i="5"/>
  <c r="M7" i="5"/>
  <c r="M11" i="5"/>
  <c r="M232" i="5"/>
  <c r="M204" i="5"/>
  <c r="M177" i="5"/>
  <c r="M174" i="5"/>
  <c r="M121" i="5"/>
  <c r="M115" i="5"/>
  <c r="M72" i="5"/>
  <c r="M36" i="5"/>
  <c r="M109" i="5"/>
  <c r="M18" i="5"/>
  <c r="M163" i="5"/>
  <c r="M162" i="5"/>
  <c r="M41" i="5"/>
  <c r="M6" i="5"/>
  <c r="M23" i="5"/>
  <c r="M225" i="5"/>
  <c r="M218" i="5"/>
  <c r="M199" i="5"/>
  <c r="M153" i="5"/>
  <c r="M99" i="5"/>
  <c r="M54" i="5"/>
  <c r="M71" i="5"/>
  <c r="M49" i="5"/>
  <c r="M223" i="5"/>
  <c r="M10" i="5"/>
  <c r="M108" i="5"/>
  <c r="M42" i="5"/>
  <c r="M103" i="5"/>
  <c r="M160" i="5"/>
  <c r="M222" i="5"/>
  <c r="M203" i="5"/>
  <c r="M198" i="5"/>
  <c r="M196" i="5"/>
  <c r="M120" i="5"/>
  <c r="M97" i="5"/>
  <c r="M95" i="5"/>
  <c r="M22" i="5"/>
  <c r="M46" i="5"/>
  <c r="M167" i="5"/>
  <c r="M189" i="5"/>
  <c r="M89" i="5"/>
  <c r="M40" i="5"/>
  <c r="M39" i="5"/>
  <c r="M96" i="5"/>
  <c r="M38" i="5"/>
  <c r="M140" i="5"/>
  <c r="M169" i="5"/>
  <c r="M17" i="5"/>
  <c r="M15" i="5"/>
  <c r="M132" i="5"/>
  <c r="M28" i="5"/>
  <c r="M5" i="5"/>
  <c r="M221" i="5"/>
  <c r="M212" i="5"/>
  <c r="M197" i="5"/>
  <c r="M152" i="5"/>
  <c r="M78" i="5"/>
  <c r="M77" i="5"/>
  <c r="M37" i="5"/>
  <c r="M192" i="5"/>
  <c r="M138" i="5"/>
  <c r="M31" i="5"/>
  <c r="M134" i="5"/>
  <c r="M105" i="5"/>
  <c r="M62" i="5"/>
  <c r="M58" i="5"/>
  <c r="M215" i="5"/>
  <c r="M211" i="5"/>
  <c r="M216" i="5"/>
  <c r="M173" i="5"/>
  <c r="M119" i="5"/>
  <c r="M76" i="5"/>
  <c r="M94" i="5"/>
  <c r="M171" i="5"/>
  <c r="M33" i="5"/>
  <c r="M44" i="5"/>
  <c r="M188" i="5"/>
  <c r="M131" i="5"/>
  <c r="M83" i="5"/>
  <c r="M57" i="5"/>
  <c r="M220" i="5"/>
  <c r="M182" i="5"/>
  <c r="M157" i="5"/>
  <c r="M125" i="5"/>
  <c r="M118" i="5"/>
  <c r="M53" i="5"/>
  <c r="M70" i="5"/>
  <c r="M48" i="5"/>
  <c r="M20" i="5"/>
  <c r="M166" i="5"/>
  <c r="M187" i="5"/>
  <c r="M185" i="5"/>
  <c r="M184" i="5"/>
  <c r="M56" i="5"/>
  <c r="M236" i="5"/>
  <c r="M214" i="5"/>
  <c r="M217" i="5"/>
  <c r="M176" i="5"/>
  <c r="M124" i="5"/>
  <c r="M148" i="5"/>
  <c r="M52" i="5"/>
  <c r="M69" i="5"/>
  <c r="M66" i="5"/>
  <c r="M191" i="5"/>
  <c r="M165" i="5"/>
  <c r="M107" i="5"/>
  <c r="M130" i="5"/>
  <c r="M82" i="5"/>
  <c r="M55" i="5"/>
  <c r="M219" i="5"/>
  <c r="M181" i="5"/>
  <c r="M128" i="5"/>
  <c r="M101" i="5"/>
  <c r="M147" i="5"/>
  <c r="M114" i="5"/>
  <c r="M51" i="5"/>
  <c r="M110" i="5"/>
  <c r="M19" i="5"/>
  <c r="M30" i="5"/>
  <c r="M14" i="5"/>
  <c r="M63" i="5"/>
  <c r="M81" i="5"/>
  <c r="M26" i="5"/>
  <c r="M230" i="5"/>
  <c r="M209" i="5"/>
  <c r="M159" i="5"/>
  <c r="M127" i="5"/>
  <c r="M151" i="5"/>
  <c r="M98" i="5"/>
  <c r="M143" i="5"/>
  <c r="M111" i="5"/>
  <c r="M21" i="5"/>
  <c r="M137" i="5"/>
  <c r="M190" i="5"/>
  <c r="M13" i="5"/>
  <c r="M161" i="5"/>
  <c r="M61" i="5"/>
  <c r="M4" i="5"/>
  <c r="M234" i="5"/>
  <c r="M208" i="5"/>
  <c r="M201" i="5"/>
  <c r="M126" i="5"/>
  <c r="M123" i="5"/>
  <c r="M117" i="5"/>
  <c r="M75" i="5"/>
  <c r="M68" i="5"/>
  <c r="M139" i="5"/>
  <c r="M65" i="5"/>
  <c r="M16" i="5"/>
  <c r="M91" i="5"/>
  <c r="M88" i="5"/>
  <c r="M80" i="5"/>
  <c r="M25" i="5"/>
  <c r="M229" i="5"/>
  <c r="M213" i="5"/>
  <c r="M180" i="5"/>
  <c r="M156" i="5"/>
  <c r="M231" i="5"/>
  <c r="M146" i="5"/>
  <c r="M142" i="5"/>
  <c r="M141" i="5"/>
  <c r="M35" i="5"/>
  <c r="M45" i="5"/>
  <c r="M92" i="5"/>
  <c r="M90" i="5"/>
  <c r="M87" i="5"/>
  <c r="M27" i="5"/>
  <c r="M3" i="5"/>
  <c r="M233" i="5"/>
  <c r="M183" i="5"/>
  <c r="M200" i="5"/>
  <c r="M175" i="5"/>
  <c r="M150" i="5"/>
  <c r="M145" i="5"/>
  <c r="M74" i="5"/>
  <c r="M193" i="5"/>
  <c r="M47" i="5"/>
  <c r="M168" i="5"/>
  <c r="M135" i="5"/>
  <c r="M133" i="5"/>
  <c r="M104" i="5"/>
  <c r="M8" i="5"/>
  <c r="M79" i="5"/>
  <c r="AD29" i="1"/>
  <c r="V37" i="2"/>
  <c r="V20" i="2"/>
  <c r="V27" i="2"/>
  <c r="V21" i="2"/>
  <c r="V40" i="2"/>
  <c r="V28" i="2"/>
  <c r="V36" i="2"/>
  <c r="V35" i="2"/>
  <c r="V24" i="2"/>
  <c r="V23" i="2"/>
  <c r="V32" i="2"/>
  <c r="V8" i="2"/>
  <c r="AA666" i="1"/>
  <c r="AA922" i="1"/>
  <c r="AA8" i="1"/>
  <c r="AA388" i="1"/>
  <c r="AA897" i="1"/>
  <c r="AA643" i="1"/>
  <c r="AA762" i="1"/>
  <c r="AA401" i="1"/>
  <c r="AA711" i="1"/>
  <c r="AA945" i="1"/>
  <c r="AA892" i="1"/>
  <c r="AA383" i="1"/>
  <c r="AA514" i="1"/>
  <c r="AA281" i="1"/>
  <c r="AA658" i="1"/>
  <c r="AA727" i="1"/>
  <c r="AA18" i="1"/>
  <c r="AA452" i="1"/>
  <c r="AA966" i="1"/>
  <c r="AA717" i="1"/>
  <c r="AA101" i="1"/>
  <c r="AA230" i="1"/>
  <c r="AA181" i="1"/>
  <c r="AA616" i="1"/>
  <c r="AA828" i="1"/>
  <c r="AA486" i="1"/>
  <c r="AA112" i="1"/>
  <c r="AA706" i="1"/>
  <c r="AA907" i="1"/>
  <c r="AA893" i="1"/>
  <c r="AA331" i="1"/>
  <c r="AA456" i="1"/>
  <c r="AA546" i="1"/>
  <c r="AA333" i="1"/>
  <c r="AA541" i="1"/>
  <c r="AA942" i="1"/>
  <c r="AA138" i="1"/>
  <c r="AA225" i="1"/>
  <c r="AA205" i="1"/>
  <c r="AA533" i="1"/>
  <c r="AA463" i="1"/>
  <c r="AA133" i="1"/>
  <c r="AA70" i="1"/>
  <c r="AA644" i="1"/>
  <c r="AA137" i="1"/>
  <c r="AA215" i="1"/>
  <c r="AA534" i="1"/>
  <c r="AA157" i="1"/>
  <c r="AA217" i="1"/>
  <c r="AA676" i="1"/>
  <c r="AA257" i="1"/>
  <c r="AA532" i="1"/>
  <c r="AA588" i="1"/>
  <c r="AA803" i="1"/>
  <c r="AA260" i="1"/>
  <c r="AA91" i="1"/>
  <c r="AA391" i="1"/>
  <c r="AA531" i="1"/>
  <c r="AA901" i="1"/>
  <c r="AA859" i="1"/>
  <c r="AA785" i="1"/>
  <c r="AA524" i="1"/>
  <c r="AA732" i="1"/>
  <c r="AA849" i="1"/>
  <c r="AA595" i="1"/>
  <c r="AA967" i="1"/>
  <c r="AA856" i="1"/>
  <c r="AA750" i="1"/>
  <c r="AA592" i="1"/>
  <c r="AA837" i="1"/>
  <c r="AA141" i="1"/>
  <c r="AA903" i="1"/>
  <c r="AA60" i="1"/>
  <c r="AA770" i="1"/>
  <c r="AA653" i="1"/>
  <c r="AA147" i="1"/>
  <c r="AA557" i="1"/>
  <c r="AA312" i="1"/>
  <c r="AA739" i="1"/>
  <c r="AA969" i="1"/>
  <c r="AA314" i="1"/>
  <c r="AA963" i="1"/>
  <c r="AA105" i="1"/>
  <c r="AA126" i="1"/>
  <c r="AA537" i="1"/>
  <c r="AA822" i="1"/>
  <c r="AA529" i="1"/>
  <c r="AA191" i="1"/>
  <c r="AA757" i="1"/>
  <c r="AA489" i="1"/>
  <c r="AA23" i="1"/>
  <c r="AA341" i="1"/>
  <c r="AA237" i="1"/>
  <c r="AA79" i="1"/>
  <c r="AA747" i="1"/>
  <c r="AA792" i="1"/>
  <c r="AA935" i="1"/>
  <c r="AA224" i="1"/>
  <c r="AA743" i="1"/>
  <c r="AA376" i="1"/>
  <c r="AA955" i="1"/>
  <c r="AA652" i="1"/>
  <c r="AA651" i="1"/>
  <c r="AA204" i="1"/>
  <c r="AA214" i="1"/>
  <c r="AA151" i="1"/>
  <c r="AA297" i="1"/>
  <c r="AA502" i="1"/>
  <c r="AA573" i="1"/>
  <c r="AA54" i="1"/>
  <c r="AA656" i="1"/>
  <c r="AA586" i="1"/>
  <c r="AA689" i="1"/>
  <c r="AA916" i="1"/>
  <c r="AA855" i="1"/>
  <c r="AA345" i="1"/>
  <c r="AA325" i="1"/>
  <c r="AA106" i="1"/>
  <c r="AA800" i="1"/>
  <c r="AA310" i="1"/>
  <c r="AA320" i="1"/>
  <c r="AA64" i="1"/>
  <c r="AA881" i="1"/>
  <c r="AA244" i="1"/>
  <c r="AA944" i="1"/>
  <c r="AA912" i="1"/>
  <c r="AA876" i="1"/>
  <c r="AA614" i="1"/>
  <c r="AA798" i="1"/>
  <c r="AA125" i="1"/>
  <c r="AA628" i="1"/>
  <c r="AA190" i="1"/>
  <c r="AA29" i="1"/>
  <c r="AA880" i="1"/>
  <c r="AA327" i="1"/>
  <c r="AA631" i="1"/>
  <c r="AA954" i="1"/>
  <c r="AA911" i="1"/>
  <c r="AA510" i="1"/>
  <c r="AA547" i="1"/>
  <c r="AA596" i="1"/>
  <c r="AA236" i="1"/>
  <c r="AA65" i="1"/>
  <c r="AA148" i="1"/>
  <c r="AA802" i="1"/>
  <c r="AA49" i="1"/>
  <c r="AA577" i="1"/>
  <c r="AA161" i="1"/>
  <c r="AA816" i="1"/>
  <c r="AA819" i="1"/>
  <c r="AA196" i="1"/>
  <c r="AA74" i="1"/>
  <c r="AA794" i="1"/>
  <c r="AA773" i="1"/>
  <c r="AA760" i="1"/>
  <c r="AA43" i="1"/>
  <c r="AA246" i="1"/>
  <c r="AA189" i="1"/>
  <c r="AA894" i="1"/>
  <c r="AA475" i="1"/>
  <c r="AA239" i="1"/>
  <c r="AA623" i="1"/>
  <c r="AA593" i="1"/>
  <c r="AA68" i="1"/>
  <c r="AA282" i="1"/>
  <c r="AA261" i="1"/>
  <c r="AA407" i="1"/>
  <c r="AA680" i="1"/>
  <c r="AA368" i="1"/>
  <c r="AA266" i="1"/>
  <c r="AA513" i="1"/>
  <c r="AA107" i="1"/>
  <c r="AA178" i="1"/>
  <c r="AA372" i="1"/>
  <c r="AA227" i="1"/>
  <c r="AA441" i="1"/>
  <c r="AA721" i="1"/>
  <c r="AA462" i="1"/>
  <c r="AA356" i="1"/>
  <c r="AA455" i="1"/>
  <c r="AA797" i="1"/>
  <c r="AA48" i="1"/>
  <c r="AA174" i="1"/>
  <c r="AA143" i="1"/>
  <c r="AA21" i="1"/>
  <c r="AA386" i="1"/>
  <c r="AA624" i="1"/>
  <c r="AA56" i="1"/>
  <c r="AA238" i="1"/>
  <c r="AA612" i="1"/>
  <c r="AA549" i="1"/>
  <c r="AA540" i="1"/>
  <c r="AA633" i="1"/>
  <c r="AA615" i="1"/>
  <c r="AA44" i="1"/>
  <c r="AA258" i="1"/>
  <c r="AA814" i="1"/>
  <c r="AA487" i="1"/>
  <c r="AA581" i="1"/>
  <c r="AA380" i="1"/>
  <c r="AA780" i="1"/>
  <c r="AA879" i="1"/>
  <c r="AA641" i="1"/>
  <c r="AA397" i="1"/>
  <c r="AA783" i="1"/>
  <c r="AA269" i="1"/>
  <c r="AA35" i="1"/>
  <c r="AA40" i="1"/>
  <c r="AA427" i="1"/>
  <c r="AA317" i="1"/>
  <c r="AA417" i="1"/>
  <c r="AA233" i="1"/>
  <c r="AA97" i="1"/>
  <c r="AA478" i="1"/>
  <c r="AA723" i="1"/>
  <c r="AA473" i="1"/>
  <c r="AA610" i="1"/>
  <c r="AA435" i="1"/>
  <c r="AA563" i="1"/>
  <c r="AA369" i="1"/>
  <c r="AA572" i="1"/>
  <c r="AA726" i="1"/>
  <c r="AA607" i="1"/>
  <c r="AA548" i="1"/>
  <c r="AA875" i="1"/>
  <c r="AA674" i="1"/>
  <c r="AA110" i="1"/>
  <c r="AA622" i="1"/>
  <c r="AA673" i="1"/>
  <c r="AA754" i="1"/>
  <c r="AA826" i="1"/>
  <c r="AA848" i="1"/>
  <c r="AA637" i="1"/>
  <c r="AA343" i="1"/>
  <c r="AA492" i="1"/>
  <c r="AA15" i="1"/>
  <c r="AA24" i="1"/>
  <c r="AA222" i="1"/>
  <c r="AA539" i="1"/>
  <c r="AA858" i="1"/>
  <c r="AA775" i="1"/>
  <c r="AA939" i="1"/>
  <c r="AA433" i="1"/>
  <c r="AA929" i="1"/>
  <c r="AA905" i="1"/>
  <c r="AA914" i="1"/>
  <c r="AA899" i="1"/>
  <c r="AA888" i="1"/>
  <c r="AA480" i="1"/>
  <c r="AA882" i="1"/>
  <c r="AA868" i="1"/>
  <c r="AA536" i="1"/>
  <c r="AA560" i="1"/>
  <c r="AA305" i="1"/>
  <c r="AA216" i="1"/>
  <c r="AA34" i="1"/>
  <c r="AA812" i="1"/>
  <c r="AA55" i="1"/>
  <c r="AA414" i="1"/>
  <c r="AA472" i="1"/>
  <c r="AA779" i="1"/>
  <c r="AA684" i="1"/>
  <c r="AA429" i="1"/>
  <c r="AA718" i="1"/>
  <c r="AA322" i="1"/>
  <c r="AA394" i="1"/>
  <c r="AA12" i="1"/>
  <c r="AA240" i="1"/>
  <c r="AA144" i="1"/>
  <c r="AA506" i="1"/>
  <c r="AA518" i="1"/>
  <c r="AA210" i="1"/>
  <c r="AA170" i="1"/>
  <c r="AA96" i="1"/>
  <c r="AA660" i="1"/>
  <c r="AA491" i="1"/>
  <c r="AA550" i="1"/>
  <c r="AA697" i="1"/>
  <c r="AA687" i="1"/>
  <c r="AA744" i="1"/>
  <c r="AA423" i="1"/>
  <c r="AA729" i="1"/>
  <c r="AA361" i="1"/>
  <c r="AA298" i="1"/>
  <c r="AA363" i="1"/>
  <c r="AA402" i="1"/>
  <c r="AA374" i="1"/>
  <c r="AA243" i="1"/>
  <c r="AA76" i="1"/>
  <c r="AA756" i="1"/>
  <c r="AA733" i="1"/>
  <c r="AA526" i="1"/>
  <c r="AA766" i="1"/>
  <c r="AA146" i="1"/>
  <c r="AA830" i="1"/>
  <c r="AA163" i="1"/>
  <c r="AA404" i="1"/>
  <c r="AA483" i="1"/>
  <c r="AA679" i="1"/>
  <c r="AA715" i="1"/>
  <c r="AA836" i="1"/>
  <c r="AA957" i="1"/>
  <c r="AA931" i="1"/>
  <c r="AA921" i="1"/>
  <c r="AA919" i="1"/>
  <c r="AA446" i="1"/>
  <c r="AA890" i="1"/>
  <c r="AA82" i="1"/>
  <c r="AA406" i="1"/>
  <c r="AA867" i="1"/>
  <c r="AA92" i="1"/>
  <c r="AA553" i="1"/>
  <c r="AA852" i="1"/>
  <c r="AA412" i="1"/>
  <c r="AA27" i="1"/>
  <c r="AA352" i="1"/>
  <c r="AA806" i="1"/>
  <c r="AA94" i="1"/>
  <c r="AA788" i="1"/>
  <c r="AA777" i="1"/>
  <c r="AA61" i="1"/>
  <c r="AA285" i="1"/>
  <c r="AA686" i="1"/>
  <c r="AA716" i="1"/>
  <c r="AA265" i="1"/>
  <c r="AA655" i="1"/>
  <c r="AA420" i="1"/>
  <c r="AA304" i="1"/>
  <c r="AA707" i="1"/>
  <c r="AA131" i="1"/>
  <c r="AA699" i="1"/>
  <c r="AA442" i="1"/>
  <c r="AA326" i="1"/>
  <c r="AA585" i="1"/>
  <c r="AA332" i="1"/>
  <c r="AA843" i="1"/>
  <c r="AA559" i="1"/>
  <c r="AA295" i="1"/>
  <c r="AA370" i="1"/>
  <c r="AA379" i="1"/>
  <c r="AA403" i="1"/>
  <c r="AA284" i="1"/>
  <c r="AA202" i="1"/>
  <c r="AA10" i="1"/>
  <c r="AA6" i="1"/>
  <c r="AA602" i="1"/>
  <c r="AA130" i="1"/>
  <c r="AA950" i="1"/>
  <c r="AA172" i="1"/>
  <c r="AA703" i="1"/>
  <c r="AA160" i="1"/>
  <c r="AA400" i="1"/>
  <c r="AA787" i="1"/>
  <c r="AA659" i="1"/>
  <c r="AA413" i="1"/>
  <c r="AA741" i="1"/>
  <c r="AA175" i="1"/>
  <c r="AA382" i="1"/>
  <c r="AA722" i="1"/>
  <c r="AA970" i="1"/>
  <c r="AA962" i="1"/>
  <c r="AA713" i="1"/>
  <c r="AA925" i="1"/>
  <c r="AA365" i="1"/>
  <c r="AA896" i="1"/>
  <c r="AA448" i="1"/>
  <c r="AA865" i="1"/>
  <c r="AA863" i="1"/>
  <c r="AA873" i="1"/>
  <c r="AA860" i="1"/>
  <c r="AA821" i="1"/>
  <c r="AA851" i="1"/>
  <c r="AA853" i="1"/>
  <c r="AA649" i="1"/>
  <c r="AA83" i="1"/>
  <c r="AA470" i="1"/>
  <c r="AA268" i="1"/>
  <c r="AA568" i="1"/>
  <c r="AA495" i="1"/>
  <c r="AA293" i="1"/>
  <c r="AA695" i="1"/>
  <c r="AA642" i="1"/>
  <c r="AA132" i="1"/>
  <c r="AA765" i="1"/>
  <c r="AA41" i="1"/>
  <c r="AA600" i="1"/>
  <c r="AA603" i="1"/>
  <c r="AA635" i="1"/>
  <c r="AA99" i="1"/>
  <c r="AA218" i="1"/>
  <c r="AA89" i="1"/>
  <c r="AA241" i="1"/>
  <c r="AA503" i="1"/>
  <c r="AA561" i="1"/>
  <c r="AA364" i="1"/>
  <c r="AA829" i="1"/>
  <c r="AA13" i="1"/>
  <c r="AA481" i="1"/>
  <c r="AA250" i="1"/>
  <c r="AA124" i="1"/>
  <c r="AA494" i="1"/>
  <c r="AA671" i="1"/>
  <c r="AA351" i="1"/>
  <c r="AA183" i="1"/>
  <c r="AA51" i="1"/>
  <c r="AA465" i="1"/>
  <c r="AA252" i="1"/>
  <c r="AA737" i="1"/>
  <c r="AA810" i="1"/>
  <c r="AA118" i="1"/>
  <c r="AA26" i="1"/>
  <c r="AA299" i="1"/>
  <c r="AA198" i="1"/>
  <c r="AA504" i="1"/>
  <c r="AA290" i="1"/>
  <c r="AA842" i="1"/>
  <c r="AA629" i="1"/>
  <c r="AA501" i="1"/>
  <c r="AA857" i="1"/>
  <c r="AA2" i="1"/>
  <c r="AA95" i="1"/>
  <c r="AA938" i="1"/>
  <c r="AA755" i="1"/>
  <c r="AA930" i="1"/>
  <c r="AA150" i="1"/>
  <c r="AA85" i="1"/>
  <c r="AA409" i="1"/>
  <c r="AA392" i="1"/>
  <c r="AA186" i="1"/>
  <c r="AA869" i="1"/>
  <c r="AA211" i="1"/>
  <c r="AA589" i="1"/>
  <c r="AA833" i="1"/>
  <c r="AA840" i="1"/>
  <c r="AA844" i="1"/>
  <c r="AA815" i="1"/>
  <c r="AA571" i="1"/>
  <c r="AA212" i="1"/>
  <c r="AA58" i="1"/>
  <c r="AA311" i="1"/>
  <c r="AA574" i="1"/>
  <c r="AA551" i="1"/>
  <c r="AA302" i="1"/>
  <c r="AA348" i="1"/>
  <c r="AA709" i="1"/>
  <c r="AA114" i="1"/>
  <c r="AA104" i="1"/>
  <c r="AA638" i="1"/>
  <c r="AA11" i="1"/>
  <c r="AA180" i="1"/>
  <c r="AA165" i="1"/>
  <c r="AA458" i="1"/>
  <c r="AA272" i="1"/>
  <c r="AA437" i="1"/>
  <c r="AA507" i="1"/>
  <c r="AA419" i="1"/>
  <c r="AA199" i="1"/>
  <c r="AA93" i="1"/>
  <c r="AA248" i="1"/>
  <c r="AA200" i="1"/>
  <c r="AA436" i="1"/>
  <c r="AA301" i="1"/>
  <c r="AA809" i="1"/>
  <c r="AA223" i="1"/>
  <c r="AA357" i="1"/>
  <c r="AA871" i="1"/>
  <c r="AA3" i="1"/>
  <c r="AA184" i="1"/>
  <c r="AA206" i="1"/>
  <c r="AA334" i="1"/>
  <c r="AA52" i="1"/>
  <c r="AA5" i="1"/>
  <c r="AA761" i="1"/>
  <c r="AA119" i="1"/>
  <c r="AA78" i="1"/>
  <c r="AA964" i="1"/>
  <c r="AA702" i="1"/>
  <c r="AA562" i="1"/>
  <c r="AA613" i="1"/>
  <c r="AA690" i="1"/>
  <c r="AA768" i="1"/>
  <c r="AA968" i="1"/>
  <c r="AA634" i="1"/>
  <c r="AA933" i="1"/>
  <c r="AA927" i="1"/>
  <c r="AA476" i="1"/>
  <c r="AA910" i="1"/>
  <c r="AA496" i="1"/>
  <c r="AA545" i="1"/>
  <c r="AA870" i="1"/>
  <c r="AA866" i="1"/>
  <c r="AA102" i="1"/>
  <c r="AA835" i="1"/>
  <c r="AA520" i="1"/>
  <c r="AA845" i="1"/>
  <c r="AA408" i="1"/>
  <c r="AA824" i="1"/>
  <c r="AA575" i="1"/>
  <c r="AA474" i="1"/>
  <c r="AA173" i="1"/>
  <c r="AA567" i="1"/>
  <c r="AA521" i="1"/>
  <c r="AA497" i="1"/>
  <c r="AA30" i="1"/>
  <c r="AA353" i="1"/>
  <c r="AA681" i="1"/>
  <c r="AA362" i="1"/>
  <c r="AA535" i="1"/>
  <c r="AA523" i="1"/>
  <c r="AA621" i="1"/>
  <c r="AA646" i="1"/>
  <c r="AA453" i="1"/>
  <c r="AA459" i="1"/>
  <c r="AA33" i="1"/>
  <c r="AA31" i="1"/>
  <c r="AA235" i="1"/>
  <c r="AA598" i="1"/>
  <c r="AA7" i="1"/>
  <c r="AA698" i="1"/>
  <c r="AA262" i="1"/>
  <c r="AA336" i="1"/>
  <c r="AA449" i="1"/>
  <c r="AA669" i="1"/>
  <c r="AA111" i="1"/>
  <c r="AA279" i="1"/>
  <c r="AA366" i="1"/>
  <c r="AA530" i="1"/>
  <c r="AA434" i="1"/>
  <c r="AA71" i="1"/>
  <c r="AA81" i="1"/>
  <c r="AA328" i="1"/>
  <c r="AA271" i="1"/>
  <c r="AA584" i="1"/>
  <c r="AA375" i="1"/>
  <c r="AA850" i="1"/>
  <c r="AA784" i="1"/>
  <c r="AA917" i="1"/>
  <c r="AA164" i="1"/>
  <c r="AA636" i="1"/>
  <c r="AA657" i="1"/>
  <c r="AA728" i="1"/>
  <c r="AA22" i="1"/>
  <c r="AA953" i="1"/>
  <c r="AA949" i="1"/>
  <c r="AA294" i="1"/>
  <c r="AA926" i="1"/>
  <c r="AA920" i="1"/>
  <c r="AA207" i="1"/>
  <c r="AA329" i="1"/>
  <c r="AA883" i="1"/>
  <c r="AA84" i="1"/>
  <c r="AA685" i="1"/>
  <c r="AA511" i="1"/>
  <c r="AA461" i="1"/>
  <c r="AA396" i="1"/>
  <c r="AA525" i="1"/>
  <c r="AA509" i="1"/>
  <c r="AA565" i="1"/>
  <c r="AA145" i="1"/>
  <c r="AA564" i="1"/>
  <c r="AA740" i="1"/>
  <c r="AA782" i="1"/>
  <c r="AA467" i="1"/>
  <c r="AA338" i="1"/>
  <c r="AA479" i="1"/>
  <c r="AA203" i="1"/>
  <c r="AA296" i="1"/>
  <c r="AA708" i="1"/>
  <c r="AA25" i="1"/>
  <c r="AA234" i="1"/>
  <c r="AA619" i="1"/>
  <c r="AA566" i="1"/>
  <c r="AA704" i="1"/>
  <c r="AA149" i="1"/>
  <c r="AA66" i="1"/>
  <c r="AA424" i="1"/>
  <c r="AA661" i="1"/>
  <c r="AA430" i="1"/>
  <c r="AA663" i="1"/>
  <c r="AA273" i="1"/>
  <c r="AA606" i="1"/>
  <c r="AA283" i="1"/>
  <c r="AA471" i="1"/>
  <c r="AA604" i="1"/>
  <c r="AA98" i="1"/>
  <c r="AA393" i="1"/>
  <c r="AA447" i="1"/>
  <c r="AA767" i="1"/>
  <c r="AA113" i="1"/>
  <c r="AA72" i="1"/>
  <c r="AA251" i="1"/>
  <c r="AA319" i="1"/>
  <c r="AA719" i="1"/>
  <c r="AA947" i="1"/>
  <c r="AA626" i="1"/>
  <c r="AA886" i="1"/>
  <c r="AA53" i="1"/>
  <c r="AA195" i="1"/>
  <c r="AA805" i="1"/>
  <c r="AA742" i="1"/>
  <c r="AA823" i="1"/>
  <c r="AA712" i="1"/>
  <c r="AA701" i="1"/>
  <c r="AA940" i="1"/>
  <c r="AA959" i="1"/>
  <c r="AA941" i="1"/>
  <c r="AA923" i="1"/>
  <c r="AA909" i="1"/>
  <c r="AA915" i="1"/>
  <c r="AA605" i="1"/>
  <c r="AA389" i="1"/>
  <c r="AA522" i="1"/>
  <c r="AA874" i="1"/>
  <c r="AA466" i="1"/>
  <c r="AA847" i="1"/>
  <c r="AA519" i="1"/>
  <c r="AA208" i="1"/>
  <c r="AA599" i="1"/>
  <c r="AA426" i="1"/>
  <c r="AA286" i="1"/>
  <c r="AA808" i="1"/>
  <c r="AA736" i="1"/>
  <c r="AA790" i="1"/>
  <c r="AA275" i="1"/>
  <c r="AA834" i="1"/>
  <c r="AA171" i="1"/>
  <c r="AA39" i="1"/>
  <c r="AA274" i="1"/>
  <c r="AA337" i="1"/>
  <c r="AA516" i="1"/>
  <c r="AA650" i="1"/>
  <c r="AA460" i="1"/>
  <c r="AA169" i="1"/>
  <c r="AA77" i="1"/>
  <c r="AA167" i="1"/>
  <c r="AA469" i="1"/>
  <c r="AA159" i="1"/>
  <c r="AA42" i="1"/>
  <c r="AA570" i="1"/>
  <c r="AA482" i="1"/>
  <c r="AA324" i="1"/>
  <c r="AA270" i="1"/>
  <c r="AA142" i="1"/>
  <c r="AA264" i="1"/>
  <c r="AA123" i="1"/>
  <c r="AA384" i="1"/>
  <c r="AA597" i="1"/>
  <c r="AA505" i="1"/>
  <c r="AA854" i="1"/>
  <c r="AA889" i="1"/>
  <c r="AA904" i="1"/>
  <c r="AA136" i="1"/>
  <c r="AA627" i="1"/>
  <c r="AA620" i="1"/>
  <c r="AA678" i="1"/>
  <c r="AA725" i="1"/>
  <c r="AA538" i="1"/>
  <c r="AA373" i="1"/>
  <c r="AA291" i="1"/>
  <c r="AA398" i="1"/>
  <c r="AA918" i="1"/>
  <c r="AA700" i="1"/>
  <c r="AA795" i="1"/>
  <c r="AA226" i="1"/>
  <c r="AA936" i="1"/>
  <c r="AA960" i="1"/>
  <c r="AA952" i="1"/>
  <c r="AA410" i="1"/>
  <c r="AA346" i="1"/>
  <c r="AA601" i="1"/>
  <c r="AA900" i="1"/>
  <c r="AA884" i="1"/>
  <c r="AA86" i="1"/>
  <c r="AA872" i="1"/>
  <c r="AA36" i="1"/>
  <c r="AA57" i="1"/>
  <c r="AA367" i="1"/>
  <c r="AA493" i="1"/>
  <c r="AA648" i="1"/>
  <c r="AA80" i="1"/>
  <c r="AA309" i="1"/>
  <c r="AA188" i="1"/>
  <c r="AA928" i="1"/>
  <c r="AA781" i="1"/>
  <c r="AA758" i="1"/>
  <c r="AA813" i="1"/>
  <c r="AA116" i="1"/>
  <c r="AA179" i="1"/>
  <c r="AA691" i="1"/>
  <c r="AA552" i="1"/>
  <c r="AA37" i="1"/>
  <c r="AA639" i="1"/>
  <c r="AA399" i="1"/>
  <c r="AA515" i="1"/>
  <c r="AA134" i="1"/>
  <c r="AA877" i="1"/>
  <c r="AA358" i="1"/>
  <c r="AA632" i="1"/>
  <c r="AA751" i="1"/>
  <c r="AA249" i="1"/>
  <c r="AA117" i="1"/>
  <c r="AA292" i="1"/>
  <c r="AA263" i="1"/>
  <c r="AA512" i="1"/>
  <c r="AA347" i="1"/>
  <c r="AA109" i="1"/>
  <c r="AA360" i="1"/>
  <c r="AA307" i="1"/>
  <c r="AA75" i="1"/>
  <c r="AA349" i="1"/>
  <c r="AA672" i="1"/>
  <c r="AA891" i="1"/>
  <c r="AA330" i="1"/>
  <c r="AA129" i="1"/>
  <c r="AA201" i="1"/>
  <c r="AA696" i="1"/>
  <c r="AA340" i="1"/>
  <c r="AA32" i="1"/>
  <c r="AA611" i="1"/>
  <c r="AA640" i="1"/>
  <c r="AA645" i="1"/>
  <c r="AA932" i="1"/>
  <c r="AA693" i="1"/>
  <c r="AA355" i="1"/>
  <c r="AA73" i="1"/>
  <c r="AA934" i="1"/>
  <c r="AA937" i="1"/>
  <c r="AA965" i="1"/>
  <c r="AA316" i="1"/>
  <c r="AA477" i="1"/>
  <c r="AA906" i="1"/>
  <c r="AA554" i="1"/>
  <c r="AA864" i="1"/>
  <c r="AA221" i="1"/>
  <c r="AA128" i="1"/>
  <c r="AA484" i="1"/>
  <c r="AA416" i="1"/>
  <c r="AA229" i="1"/>
  <c r="AA825" i="1"/>
  <c r="AA439" i="1"/>
  <c r="AA350" i="1"/>
  <c r="AA156" i="1"/>
  <c r="AA578" i="1"/>
  <c r="AA801" i="1"/>
  <c r="AA580" i="1"/>
  <c r="AA772" i="1"/>
  <c r="AA135" i="1"/>
  <c r="AA418" i="1"/>
  <c r="AA47" i="1"/>
  <c r="AA303" i="1"/>
  <c r="AA664" i="1"/>
  <c r="AA443" i="1"/>
  <c r="AA438" i="1"/>
  <c r="AA608" i="1"/>
  <c r="AA242" i="1"/>
  <c r="AA630" i="1"/>
  <c r="AA377" i="1"/>
  <c r="AA50" i="1"/>
  <c r="AA259" i="1"/>
  <c r="AA378" i="1"/>
  <c r="AA594" i="1"/>
  <c r="AA387" i="1"/>
  <c r="AA344" i="1"/>
  <c r="AA425" i="1"/>
  <c r="AA276" i="1"/>
  <c r="AA287" i="1"/>
  <c r="AA289" i="1"/>
  <c r="AA152" i="1"/>
  <c r="AA579" i="1"/>
  <c r="AA415" i="1"/>
  <c r="AA313" i="1"/>
  <c r="AA121" i="1"/>
  <c r="AA683" i="1"/>
  <c r="AA647" i="1"/>
  <c r="AA817" i="1"/>
  <c r="AA16" i="1"/>
  <c r="AA668" i="1"/>
  <c r="AA924" i="1"/>
  <c r="AA625" i="1"/>
  <c r="AA17" i="1"/>
  <c r="AA617" i="1"/>
  <c r="AA38" i="1"/>
  <c r="AA958" i="1"/>
  <c r="AA675" i="1"/>
  <c r="AA793" i="1"/>
  <c r="AA321" i="1"/>
  <c r="AA961" i="1"/>
  <c r="AA951" i="1"/>
  <c r="AA948" i="1"/>
  <c r="AA498" i="1"/>
  <c r="AA46" i="1"/>
  <c r="AA90" i="1"/>
  <c r="AA898" i="1"/>
  <c r="AA464" i="1"/>
  <c r="AA591" i="1"/>
  <c r="AA177" i="1"/>
  <c r="AA115" i="1"/>
  <c r="AA395" i="1"/>
  <c r="AA490" i="1"/>
  <c r="AA45" i="1"/>
  <c r="AA587" i="1"/>
  <c r="AA820" i="1"/>
  <c r="AA87" i="1"/>
  <c r="AA428" i="1"/>
  <c r="AA804" i="1"/>
  <c r="AA786" i="1"/>
  <c r="AA771" i="1"/>
  <c r="AA665" i="1"/>
  <c r="AA154" i="1"/>
  <c r="AA153" i="1"/>
  <c r="AA371" i="1"/>
  <c r="AA662" i="1"/>
  <c r="AA245" i="1"/>
  <c r="AA139" i="1"/>
  <c r="AA255" i="1"/>
  <c r="AA231" i="1"/>
  <c r="AA194" i="1"/>
  <c r="AA569" i="1"/>
  <c r="AA720" i="1"/>
  <c r="AA528" i="1"/>
  <c r="AA543" i="1"/>
  <c r="AA19" i="1"/>
  <c r="AA381" i="1"/>
  <c r="AA544" i="1"/>
  <c r="AA485" i="1"/>
  <c r="AA120" i="1"/>
  <c r="AA440" i="1"/>
  <c r="AA20" i="1"/>
  <c r="AA63" i="1"/>
  <c r="AA752" i="1"/>
  <c r="AA4" i="1"/>
  <c r="AA197" i="1"/>
  <c r="AA267" i="1"/>
  <c r="AA228" i="1"/>
  <c r="AA556" i="1"/>
  <c r="AA280" i="1"/>
  <c r="AA166" i="1"/>
  <c r="AA209" i="1"/>
  <c r="AA748" i="1"/>
  <c r="AA527" i="1"/>
  <c r="AA778" i="1"/>
  <c r="AA913" i="1"/>
  <c r="AA9" i="1"/>
  <c r="AA688" i="1"/>
  <c r="AA799" i="1"/>
  <c r="AA734" i="1"/>
  <c r="AA789" i="1"/>
  <c r="AA956" i="1"/>
  <c r="AA946" i="1"/>
  <c r="AA749" i="1"/>
  <c r="AA457" i="1"/>
  <c r="AA213" i="1"/>
  <c r="AA895" i="1"/>
  <c r="AA277" i="1"/>
  <c r="AA887" i="1"/>
  <c r="AA335" i="1"/>
  <c r="AA385" i="1"/>
  <c r="AA861" i="1"/>
  <c r="AA445" i="1"/>
  <c r="AA405" i="1"/>
  <c r="AA831" i="1"/>
  <c r="AA838" i="1"/>
  <c r="AA422" i="1"/>
  <c r="AA774" i="1"/>
  <c r="AA59" i="1"/>
  <c r="AA796" i="1"/>
  <c r="AA583" i="1"/>
  <c r="AA444" i="1"/>
  <c r="AA735" i="1"/>
  <c r="AA878" i="1"/>
  <c r="AA67" i="1"/>
  <c r="AA677" i="1"/>
  <c r="AA468" i="1"/>
  <c r="AA421" i="1"/>
  <c r="AA193" i="1"/>
  <c r="AA162" i="1"/>
  <c r="AA323" i="1"/>
  <c r="AA390" i="1"/>
  <c r="AA846" i="1"/>
  <c r="AA339" i="1"/>
  <c r="AA705" i="1"/>
  <c r="AA300" i="1"/>
  <c r="AA730" i="1"/>
  <c r="AA508" i="1"/>
  <c r="AA127" i="1"/>
  <c r="AA618" i="1"/>
  <c r="AA499" i="1"/>
  <c r="AA315" i="1"/>
  <c r="AA187" i="1"/>
  <c r="AA256" i="1"/>
  <c r="AA359" i="1"/>
  <c r="AA192" i="1"/>
  <c r="AA667" i="1"/>
  <c r="AA103" i="1"/>
  <c r="AA517" i="1"/>
  <c r="AA764" i="1"/>
  <c r="AA738" i="1"/>
  <c r="AA576" i="1"/>
  <c r="AA902" i="1"/>
  <c r="AA542" i="1"/>
  <c r="AA769" i="1"/>
  <c r="AA807" i="1"/>
  <c r="AA342" i="1"/>
  <c r="AA746" i="1"/>
  <c r="AA654" i="1"/>
  <c r="AA839" i="1"/>
  <c r="AA354" i="1"/>
  <c r="AA710" i="1"/>
  <c r="AA943" i="1"/>
  <c r="AA714" i="1"/>
  <c r="AA745" i="1"/>
  <c r="AA609" i="1"/>
  <c r="AA122" i="1"/>
  <c r="AA454" i="1"/>
  <c r="AA278" i="1"/>
  <c r="AA670" i="1"/>
  <c r="AA450" i="1"/>
  <c r="AA62" i="1"/>
  <c r="AA862" i="1"/>
  <c r="AA841" i="1"/>
  <c r="AA185" i="1"/>
  <c r="AA832" i="1"/>
  <c r="AA411" i="1"/>
  <c r="AA555" i="1"/>
  <c r="AA811" i="1"/>
  <c r="AA219" i="1"/>
  <c r="AA791" i="1"/>
  <c r="AA776" i="1"/>
  <c r="AA759" i="1"/>
  <c r="AA731" i="1"/>
  <c r="AA318" i="1"/>
  <c r="AA827" i="1"/>
  <c r="AA682" i="1"/>
  <c r="AA306" i="1"/>
  <c r="AA155" i="1"/>
  <c r="AA247" i="1"/>
  <c r="AA451" i="1"/>
  <c r="AA182" i="1"/>
  <c r="AA88" i="1"/>
  <c r="AA692" i="1"/>
  <c r="AA500" i="1"/>
  <c r="AA590" i="1"/>
  <c r="AA432" i="1"/>
  <c r="AA253" i="1"/>
  <c r="AA254" i="1"/>
  <c r="AA488" i="1"/>
  <c r="AA28" i="1"/>
  <c r="AA140" i="1"/>
  <c r="AA220" i="1"/>
  <c r="AA753" i="1"/>
  <c r="AA158" i="1"/>
  <c r="AA100" i="1"/>
  <c r="AA431" i="1"/>
  <c r="AA308" i="1"/>
  <c r="AA14" i="1"/>
  <c r="AA108" i="1"/>
  <c r="AA558" i="1"/>
  <c r="AA288" i="1"/>
  <c r="AA582" i="1"/>
  <c r="AA694" i="1"/>
  <c r="AA69" i="1"/>
  <c r="AA176" i="1"/>
  <c r="AA908" i="1"/>
  <c r="AA232" i="1"/>
  <c r="AA724" i="1"/>
  <c r="AA885" i="1"/>
  <c r="AA168" i="1"/>
  <c r="AA818" i="1"/>
  <c r="H89" i="5" l="1"/>
  <c r="G89" i="5" s="1"/>
  <c r="H5" i="5"/>
  <c r="G5" i="5" s="1"/>
  <c r="H211" i="5"/>
  <c r="G211" i="5" s="1"/>
  <c r="H157" i="5"/>
  <c r="G157" i="5" s="1"/>
  <c r="H124" i="5"/>
  <c r="G124" i="5" s="1"/>
  <c r="H147" i="5"/>
  <c r="G147" i="5" s="1"/>
  <c r="H143" i="5"/>
  <c r="G143" i="5" s="1"/>
  <c r="H68" i="5"/>
  <c r="G68" i="5" s="1"/>
  <c r="H35" i="5"/>
  <c r="G35" i="5" s="1"/>
  <c r="H168" i="5"/>
  <c r="G168" i="5" s="1"/>
  <c r="H84" i="5"/>
  <c r="G84" i="5" s="1"/>
  <c r="H6" i="5"/>
  <c r="G6" i="5" s="1"/>
  <c r="H40" i="5"/>
  <c r="G40" i="5" s="1"/>
  <c r="H221" i="5"/>
  <c r="G221" i="5" s="1"/>
  <c r="H216" i="5"/>
  <c r="G216" i="5" s="1"/>
  <c r="H125" i="5"/>
  <c r="G125" i="5" s="1"/>
  <c r="H148" i="5"/>
  <c r="G148" i="5" s="1"/>
  <c r="H114" i="5"/>
  <c r="G114" i="5" s="1"/>
  <c r="H111" i="5"/>
  <c r="G111" i="5" s="1"/>
  <c r="H139" i="5"/>
  <c r="G139" i="5" s="1"/>
  <c r="H45" i="5"/>
  <c r="G45" i="5" s="1"/>
  <c r="H135" i="5"/>
  <c r="G135" i="5" s="1"/>
  <c r="H7" i="5"/>
  <c r="G7" i="5" s="1"/>
  <c r="H23" i="5"/>
  <c r="G23" i="5" s="1"/>
  <c r="H39" i="5"/>
  <c r="G39" i="5" s="1"/>
  <c r="H212" i="5"/>
  <c r="G212" i="5" s="1"/>
  <c r="H173" i="5"/>
  <c r="G173" i="5" s="1"/>
  <c r="H118" i="5"/>
  <c r="G118" i="5" s="1"/>
  <c r="H52" i="5"/>
  <c r="G52" i="5" s="1"/>
  <c r="H51" i="5"/>
  <c r="G51" i="5" s="1"/>
  <c r="H21" i="5"/>
  <c r="G21" i="5" s="1"/>
  <c r="H65" i="5"/>
  <c r="G65" i="5" s="1"/>
  <c r="H92" i="5"/>
  <c r="G92" i="5" s="1"/>
  <c r="H133" i="5"/>
  <c r="G133" i="5" s="1"/>
  <c r="H11" i="5"/>
  <c r="G11" i="5" s="1"/>
  <c r="H225" i="5"/>
  <c r="G225" i="5" s="1"/>
  <c r="H197" i="5"/>
  <c r="G197" i="5" s="1"/>
  <c r="H119" i="5"/>
  <c r="G119" i="5" s="1"/>
  <c r="H53" i="5"/>
  <c r="G53" i="5" s="1"/>
  <c r="H69" i="5"/>
  <c r="G69" i="5" s="1"/>
  <c r="H110" i="5"/>
  <c r="G110" i="5" s="1"/>
  <c r="H137" i="5"/>
  <c r="G137" i="5" s="1"/>
  <c r="H16" i="5"/>
  <c r="G16" i="5" s="1"/>
  <c r="H90" i="5"/>
  <c r="G90" i="5" s="1"/>
  <c r="H104" i="5"/>
  <c r="G104" i="5" s="1"/>
  <c r="H232" i="5"/>
  <c r="G232" i="5" s="1"/>
  <c r="H218" i="5"/>
  <c r="G218" i="5" s="1"/>
  <c r="H152" i="5"/>
  <c r="G152" i="5" s="1"/>
  <c r="H76" i="5"/>
  <c r="G76" i="5" s="1"/>
  <c r="H70" i="5"/>
  <c r="G70" i="5" s="1"/>
  <c r="H66" i="5"/>
  <c r="G66" i="5" s="1"/>
  <c r="H19" i="5"/>
  <c r="G19" i="5" s="1"/>
  <c r="H190" i="5"/>
  <c r="G190" i="5" s="1"/>
  <c r="H91" i="5"/>
  <c r="G91" i="5" s="1"/>
  <c r="H87" i="5"/>
  <c r="G87" i="5" s="1"/>
  <c r="H8" i="5"/>
  <c r="G8" i="5" s="1"/>
  <c r="H228" i="5"/>
  <c r="G228" i="5" s="1"/>
  <c r="H204" i="5"/>
  <c r="G204" i="5" s="1"/>
  <c r="H199" i="5"/>
  <c r="G199" i="5" s="1"/>
  <c r="H222" i="5"/>
  <c r="G222" i="5" s="1"/>
  <c r="H78" i="5"/>
  <c r="G78" i="5" s="1"/>
  <c r="H94" i="5"/>
  <c r="G94" i="5" s="1"/>
  <c r="H48" i="5"/>
  <c r="G48" i="5" s="1"/>
  <c r="H191" i="5"/>
  <c r="G191" i="5" s="1"/>
  <c r="H30" i="5"/>
  <c r="G30" i="5" s="1"/>
  <c r="H13" i="5"/>
  <c r="G13" i="5" s="1"/>
  <c r="H88" i="5"/>
  <c r="G88" i="5" s="1"/>
  <c r="H27" i="5"/>
  <c r="G27" i="5" s="1"/>
  <c r="H79" i="5"/>
  <c r="G79" i="5" s="1"/>
  <c r="H205" i="5"/>
  <c r="G205" i="5" s="1"/>
  <c r="H177" i="5"/>
  <c r="G177" i="5" s="1"/>
  <c r="H153" i="5"/>
  <c r="G153" i="5" s="1"/>
  <c r="H203" i="5"/>
  <c r="G203" i="5" s="1"/>
  <c r="H77" i="5"/>
  <c r="G77" i="5" s="1"/>
  <c r="H171" i="5"/>
  <c r="G171" i="5" s="1"/>
  <c r="H20" i="5"/>
  <c r="G20" i="5" s="1"/>
  <c r="H165" i="5"/>
  <c r="G165" i="5" s="1"/>
  <c r="H14" i="5"/>
  <c r="G14" i="5" s="1"/>
  <c r="H161" i="5"/>
  <c r="G161" i="5" s="1"/>
  <c r="H80" i="5"/>
  <c r="G80" i="5" s="1"/>
  <c r="H3" i="5"/>
  <c r="G3" i="5" s="1"/>
  <c r="H178" i="5"/>
  <c r="G178" i="5" s="1"/>
  <c r="H174" i="5"/>
  <c r="G174" i="5" s="1"/>
  <c r="H99" i="5"/>
  <c r="G99" i="5" s="1"/>
  <c r="H198" i="5"/>
  <c r="G198" i="5" s="1"/>
  <c r="H37" i="5"/>
  <c r="G37" i="5" s="1"/>
  <c r="H33" i="5"/>
  <c r="G33" i="5" s="1"/>
  <c r="H166" i="5"/>
  <c r="G166" i="5" s="1"/>
  <c r="H107" i="5"/>
  <c r="G107" i="5" s="1"/>
  <c r="H63" i="5"/>
  <c r="G63" i="5" s="1"/>
  <c r="H61" i="5"/>
  <c r="G61" i="5" s="1"/>
  <c r="H25" i="5"/>
  <c r="G25" i="5" s="1"/>
  <c r="H233" i="5"/>
  <c r="G233" i="5" s="1"/>
  <c r="H154" i="5"/>
  <c r="G154" i="5" s="1"/>
  <c r="H121" i="5"/>
  <c r="G121" i="5" s="1"/>
  <c r="H54" i="5"/>
  <c r="G54" i="5" s="1"/>
  <c r="H196" i="5"/>
  <c r="G196" i="5" s="1"/>
  <c r="H96" i="5"/>
  <c r="G96" i="5" s="1"/>
  <c r="H192" i="5"/>
  <c r="G192" i="5" s="1"/>
  <c r="H44" i="5"/>
  <c r="G44" i="5" s="1"/>
  <c r="H187" i="5"/>
  <c r="G187" i="5" s="1"/>
  <c r="H130" i="5"/>
  <c r="G130" i="5" s="1"/>
  <c r="H81" i="5"/>
  <c r="G81" i="5" s="1"/>
  <c r="H4" i="5"/>
  <c r="G4" i="5" s="1"/>
  <c r="H229" i="5"/>
  <c r="G229" i="5" s="1"/>
  <c r="H183" i="5"/>
  <c r="G183" i="5" s="1"/>
  <c r="H100" i="5"/>
  <c r="G100" i="5" s="1"/>
  <c r="H115" i="5"/>
  <c r="G115" i="5" s="1"/>
  <c r="H71" i="5"/>
  <c r="G71" i="5" s="1"/>
  <c r="H120" i="5"/>
  <c r="G120" i="5" s="1"/>
  <c r="H38" i="5"/>
  <c r="G38" i="5" s="1"/>
  <c r="H138" i="5"/>
  <c r="G138" i="5" s="1"/>
  <c r="H188" i="5"/>
  <c r="G188" i="5" s="1"/>
  <c r="H185" i="5"/>
  <c r="G185" i="5" s="1"/>
  <c r="H82" i="5"/>
  <c r="G82" i="5" s="1"/>
  <c r="H26" i="5"/>
  <c r="G26" i="5" s="1"/>
  <c r="H234" i="5"/>
  <c r="G234" i="5" s="1"/>
  <c r="H213" i="5"/>
  <c r="G213" i="5" s="1"/>
  <c r="H200" i="5"/>
  <c r="G200" i="5" s="1"/>
  <c r="H144" i="5"/>
  <c r="G144" i="5" s="1"/>
  <c r="H72" i="5"/>
  <c r="G72" i="5" s="1"/>
  <c r="H49" i="5"/>
  <c r="G49" i="5" s="1"/>
  <c r="H97" i="5"/>
  <c r="G97" i="5" s="1"/>
  <c r="H140" i="5"/>
  <c r="G140" i="5" s="1"/>
  <c r="H31" i="5"/>
  <c r="G31" i="5" s="1"/>
  <c r="H131" i="5"/>
  <c r="G131" i="5" s="1"/>
  <c r="H184" i="5"/>
  <c r="G184" i="5" s="1"/>
  <c r="H55" i="5"/>
  <c r="G55" i="5" s="1"/>
  <c r="H230" i="5"/>
  <c r="G230" i="5" s="1"/>
  <c r="H208" i="5"/>
  <c r="G208" i="5" s="1"/>
  <c r="H180" i="5"/>
  <c r="G180" i="5" s="1"/>
  <c r="H175" i="5"/>
  <c r="G175" i="5" s="1"/>
  <c r="H112" i="5"/>
  <c r="G112" i="5" s="1"/>
  <c r="H36" i="5"/>
  <c r="G36" i="5" s="1"/>
  <c r="H223" i="5"/>
  <c r="G223" i="5" s="1"/>
  <c r="H95" i="5"/>
  <c r="G95" i="5" s="1"/>
  <c r="H169" i="5"/>
  <c r="G169" i="5" s="1"/>
  <c r="H134" i="5"/>
  <c r="G134" i="5" s="1"/>
  <c r="H83" i="5"/>
  <c r="G83" i="5" s="1"/>
  <c r="H56" i="5"/>
  <c r="G56" i="5" s="1"/>
  <c r="H209" i="5"/>
  <c r="G209" i="5" s="1"/>
  <c r="H201" i="5"/>
  <c r="G201" i="5" s="1"/>
  <c r="H156" i="5"/>
  <c r="G156" i="5" s="1"/>
  <c r="H150" i="5"/>
  <c r="G150" i="5" s="1"/>
  <c r="H50" i="5"/>
  <c r="G50" i="5" s="1"/>
  <c r="H109" i="5"/>
  <c r="G109" i="5" s="1"/>
  <c r="H10" i="5"/>
  <c r="G10" i="5" s="1"/>
  <c r="H22" i="5"/>
  <c r="G22" i="5" s="1"/>
  <c r="H17" i="5"/>
  <c r="G17" i="5" s="1"/>
  <c r="H105" i="5"/>
  <c r="G105" i="5" s="1"/>
  <c r="H57" i="5"/>
  <c r="G57" i="5" s="1"/>
  <c r="H236" i="5"/>
  <c r="G236" i="5" s="1"/>
  <c r="H219" i="5"/>
  <c r="G219" i="5" s="1"/>
  <c r="H159" i="5"/>
  <c r="G159" i="5" s="1"/>
  <c r="H126" i="5"/>
  <c r="G126" i="5" s="1"/>
  <c r="H231" i="5"/>
  <c r="G231" i="5" s="1"/>
  <c r="H145" i="5"/>
  <c r="G145" i="5" s="1"/>
  <c r="H170" i="5"/>
  <c r="G170" i="5" s="1"/>
  <c r="H18" i="5"/>
  <c r="G18" i="5" s="1"/>
  <c r="H108" i="5"/>
  <c r="G108" i="5" s="1"/>
  <c r="H46" i="5"/>
  <c r="G46" i="5" s="1"/>
  <c r="H15" i="5"/>
  <c r="G15" i="5" s="1"/>
  <c r="H62" i="5"/>
  <c r="G62" i="5" s="1"/>
  <c r="H214" i="5"/>
  <c r="G214" i="5" s="1"/>
  <c r="H181" i="5"/>
  <c r="G181" i="5" s="1"/>
  <c r="H127" i="5"/>
  <c r="G127" i="5" s="1"/>
  <c r="H123" i="5"/>
  <c r="G123" i="5" s="1"/>
  <c r="H146" i="5"/>
  <c r="G146" i="5" s="1"/>
  <c r="H74" i="5"/>
  <c r="G74" i="5" s="1"/>
  <c r="H64" i="5"/>
  <c r="G64" i="5" s="1"/>
  <c r="H163" i="5"/>
  <c r="G163" i="5" s="1"/>
  <c r="H42" i="5"/>
  <c r="G42" i="5" s="1"/>
  <c r="H167" i="5"/>
  <c r="G167" i="5" s="1"/>
  <c r="H132" i="5"/>
  <c r="G132" i="5" s="1"/>
  <c r="H58" i="5"/>
  <c r="G58" i="5" s="1"/>
  <c r="H220" i="5"/>
  <c r="G220" i="5" s="1"/>
  <c r="H217" i="5"/>
  <c r="G217" i="5" s="1"/>
  <c r="H128" i="5"/>
  <c r="G128" i="5" s="1"/>
  <c r="H151" i="5"/>
  <c r="G151" i="5" s="1"/>
  <c r="H117" i="5"/>
  <c r="G117" i="5" s="1"/>
  <c r="H142" i="5"/>
  <c r="G142" i="5" s="1"/>
  <c r="H193" i="5"/>
  <c r="G193" i="5" s="1"/>
  <c r="H43" i="5"/>
  <c r="G43" i="5" s="1"/>
  <c r="H162" i="5"/>
  <c r="G162" i="5" s="1"/>
  <c r="H103" i="5"/>
  <c r="G103" i="5" s="1"/>
  <c r="H189" i="5"/>
  <c r="G189" i="5" s="1"/>
  <c r="H28" i="5"/>
  <c r="G28" i="5" s="1"/>
  <c r="H215" i="5"/>
  <c r="G215" i="5" s="1"/>
  <c r="H182" i="5"/>
  <c r="G182" i="5" s="1"/>
  <c r="H176" i="5"/>
  <c r="G176" i="5" s="1"/>
  <c r="H101" i="5"/>
  <c r="G101" i="5" s="1"/>
  <c r="H98" i="5"/>
  <c r="G98" i="5" s="1"/>
  <c r="H75" i="5"/>
  <c r="G75" i="5" s="1"/>
  <c r="H141" i="5"/>
  <c r="G141" i="5" s="1"/>
  <c r="H47" i="5"/>
  <c r="G47" i="5" s="1"/>
  <c r="H186" i="5"/>
  <c r="G186" i="5" s="1"/>
  <c r="H41" i="5"/>
  <c r="G41" i="5" s="1"/>
  <c r="H160" i="5"/>
  <c r="G160" i="5" s="1"/>
  <c r="AD20" i="1"/>
  <c r="AD21" i="1"/>
  <c r="AD12" i="1"/>
  <c r="AD22" i="1"/>
  <c r="AD23" i="1"/>
  <c r="AD19" i="1"/>
  <c r="AD10" i="1"/>
  <c r="AD13" i="1"/>
  <c r="AD9" i="1"/>
  <c r="AD11" i="1"/>
  <c r="AD25" i="1" l="1"/>
  <c r="AD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9CBC29-FCFB-46C0-AA49-F8761EEA9278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  <connection id="2" xr16:uid="{BFFE647B-430D-4D7B-B854-2E3757CCEA80}" keepAlive="1" name="Query - Table1 (2)" description="Connection to the 'Table1 (2)' query in the workbook." type="5" refreshedVersion="7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<sst xmlns="http://schemas.openxmlformats.org/spreadsheetml/2006/main" count="5440" uniqueCount="1690">
  <si>
    <t>id</t>
  </si>
  <si>
    <t>name</t>
  </si>
  <si>
    <t>dam</t>
  </si>
  <si>
    <t>damId</t>
  </si>
  <si>
    <t>purseWon</t>
  </si>
  <si>
    <t>typeBought</t>
  </si>
  <si>
    <t>typeSold</t>
  </si>
  <si>
    <t>birth</t>
  </si>
  <si>
    <t>dateBought</t>
  </si>
  <si>
    <t>dateSold</t>
  </si>
  <si>
    <t>netPrice</t>
  </si>
  <si>
    <t>SFBreeder</t>
  </si>
  <si>
    <t>SF</t>
  </si>
  <si>
    <t>soldBySF</t>
  </si>
  <si>
    <t>studFeeUSD</t>
  </si>
  <si>
    <t>ownProfitMinusFees</t>
  </si>
  <si>
    <t>timeKept</t>
  </si>
  <si>
    <t>offsOwnProfitMinusFees</t>
  </si>
  <si>
    <t>offsStudFeeUSD</t>
  </si>
  <si>
    <t>offsTimeKept</t>
  </si>
  <si>
    <t>totalProfit</t>
  </si>
  <si>
    <t>totalTimeKept</t>
  </si>
  <si>
    <t>Serena's Sister</t>
  </si>
  <si>
    <t>Imagining</t>
  </si>
  <si>
    <t>Broodmare</t>
  </si>
  <si>
    <t>.</t>
  </si>
  <si>
    <t>Wild Lucy Black</t>
  </si>
  <si>
    <t>Lucy Black</t>
  </si>
  <si>
    <t>Viola Royale (IRE)</t>
  </si>
  <si>
    <t>Wood Violet</t>
  </si>
  <si>
    <t>Buffalo Berry (IRE)</t>
  </si>
  <si>
    <t>Palm Dove</t>
  </si>
  <si>
    <t>Chasetheragingwind</t>
  </si>
  <si>
    <t>Race the Wild Wind</t>
  </si>
  <si>
    <t>Gold Canyon</t>
  </si>
  <si>
    <t>Golden Treat</t>
  </si>
  <si>
    <t>Never Is a Promise</t>
  </si>
  <si>
    <t>Ms. Patty B.</t>
  </si>
  <si>
    <t>Zuri Ridge</t>
  </si>
  <si>
    <t>Zuri</t>
  </si>
  <si>
    <t>Holy Blitz</t>
  </si>
  <si>
    <t>Pagofire</t>
  </si>
  <si>
    <t>Slow Down</t>
  </si>
  <si>
    <t>Corrazona</t>
  </si>
  <si>
    <t>Morant Bay</t>
  </si>
  <si>
    <t>Ms. Judy Judy</t>
  </si>
  <si>
    <t>Yearling</t>
  </si>
  <si>
    <t>Sluice</t>
  </si>
  <si>
    <t>Lakeway</t>
  </si>
  <si>
    <t>Missy Turtle</t>
  </si>
  <si>
    <t>Redding Ridge</t>
  </si>
  <si>
    <t>Collect Call</t>
  </si>
  <si>
    <t>Negative Pledge</t>
  </si>
  <si>
    <t>Dance Alexa</t>
  </si>
  <si>
    <t>Phantom Dancer</t>
  </si>
  <si>
    <t>Queen's Lady</t>
  </si>
  <si>
    <t>Jeano</t>
  </si>
  <si>
    <t>Private Feeling</t>
  </si>
  <si>
    <t>Regal Feeling</t>
  </si>
  <si>
    <t>Premiere Creation (FR)</t>
  </si>
  <si>
    <t>Allwaki</t>
  </si>
  <si>
    <t>Nonsuch Bay</t>
  </si>
  <si>
    <t>Brighter Than Gold</t>
  </si>
  <si>
    <t>Mini Chat</t>
  </si>
  <si>
    <t>Phone Chatter</t>
  </si>
  <si>
    <t>Be Silver</t>
  </si>
  <si>
    <t>Beafleet</t>
  </si>
  <si>
    <t>Atlantic Ocean</t>
  </si>
  <si>
    <t>Super Chef</t>
  </si>
  <si>
    <t>Letithappencaptain</t>
  </si>
  <si>
    <t>Dual Crown</t>
  </si>
  <si>
    <t>Candybedandy</t>
  </si>
  <si>
    <t>Stormy Bend</t>
  </si>
  <si>
    <t>Summer Star</t>
  </si>
  <si>
    <t>Candi's Star</t>
  </si>
  <si>
    <t>Betty's Solutions</t>
  </si>
  <si>
    <t>Betty Lobelia</t>
  </si>
  <si>
    <t>Teak Totem</t>
  </si>
  <si>
    <t>Teaksberry Road</t>
  </si>
  <si>
    <t>Galileo's Star</t>
  </si>
  <si>
    <t>June Gale</t>
  </si>
  <si>
    <t>Dash for Money</t>
  </si>
  <si>
    <t>Hot Lear</t>
  </si>
  <si>
    <t>Miss Puzzle (AUS)</t>
  </si>
  <si>
    <t>Miss Tree (NZ)</t>
  </si>
  <si>
    <t>Merry Me in Spring</t>
  </si>
  <si>
    <t>Merry Deputy</t>
  </si>
  <si>
    <t>Bobbie Use</t>
  </si>
  <si>
    <t>Truth and Beauty</t>
  </si>
  <si>
    <t>Menifeeque</t>
  </si>
  <si>
    <t>Quick Rhythm</t>
  </si>
  <si>
    <t>Evangelizer</t>
  </si>
  <si>
    <t>Religiosity</t>
  </si>
  <si>
    <t>Eversmile</t>
  </si>
  <si>
    <t>Avasand</t>
  </si>
  <si>
    <t>Josette (IRE)</t>
  </si>
  <si>
    <t>Loure</t>
  </si>
  <si>
    <t>Mortgage the House</t>
  </si>
  <si>
    <t>Fee</t>
  </si>
  <si>
    <t>High Chant</t>
  </si>
  <si>
    <t>Highfalutin</t>
  </si>
  <si>
    <t>Ballade's Girl</t>
  </si>
  <si>
    <t>Pleasing Prospect</t>
  </si>
  <si>
    <t>Broadway Gold</t>
  </si>
  <si>
    <t>Miss Doolittle</t>
  </si>
  <si>
    <t>Culinary</t>
  </si>
  <si>
    <t>Volunteer (ARG)</t>
  </si>
  <si>
    <t>Fashion Cat</t>
  </si>
  <si>
    <t>Hold to Fashion</t>
  </si>
  <si>
    <t>Anura (IRE)</t>
  </si>
  <si>
    <t>Shastri</t>
  </si>
  <si>
    <t>Pool Land</t>
  </si>
  <si>
    <t>Slew City Slicker</t>
  </si>
  <si>
    <t>Tiffany Twisted</t>
  </si>
  <si>
    <t>Miss Turlington</t>
  </si>
  <si>
    <t>Chianti Red</t>
  </si>
  <si>
    <t>Vee See Are</t>
  </si>
  <si>
    <t>Shytoe Lafeet</t>
  </si>
  <si>
    <t>Hightshift</t>
  </si>
  <si>
    <t>No Reason</t>
  </si>
  <si>
    <t>Tammany Hall</t>
  </si>
  <si>
    <t>Dynamic Feature</t>
  </si>
  <si>
    <t>Odylic</t>
  </si>
  <si>
    <t>Celestial Woods</t>
  </si>
  <si>
    <t>Celestial Bliss</t>
  </si>
  <si>
    <t>Homesteader</t>
  </si>
  <si>
    <t>Sugarloaf</t>
  </si>
  <si>
    <t>Ten Halos</t>
  </si>
  <si>
    <t>Shahalo</t>
  </si>
  <si>
    <t>Unbridled Belle</t>
  </si>
  <si>
    <t>Little Bold Belle</t>
  </si>
  <si>
    <t>Indy's Windy</t>
  </si>
  <si>
    <t>Banshee Winds</t>
  </si>
  <si>
    <t>Unfold the Rose</t>
  </si>
  <si>
    <t>Bail Out Becky</t>
  </si>
  <si>
    <t>Courtly Choice</t>
  </si>
  <si>
    <t>I'maknightschoice</t>
  </si>
  <si>
    <t>Secret Kin</t>
  </si>
  <si>
    <t>Leisurely Kin</t>
  </si>
  <si>
    <t>Broodmare / Racing Prospect</t>
  </si>
  <si>
    <t>Coulee</t>
  </si>
  <si>
    <t>Glacial Lake</t>
  </si>
  <si>
    <t>Shriek</t>
  </si>
  <si>
    <t>Tricky Bird</t>
  </si>
  <si>
    <t>Last Kitten</t>
  </si>
  <si>
    <t>Kitten's First</t>
  </si>
  <si>
    <t>Raffishing Look</t>
  </si>
  <si>
    <t>Touch of Truth</t>
  </si>
  <si>
    <t>Miss Patsy</t>
  </si>
  <si>
    <t>Powder Doll</t>
  </si>
  <si>
    <t>Les Fazzani (IRE)</t>
  </si>
  <si>
    <t>Massada (GB)</t>
  </si>
  <si>
    <t>Lady Rapper</t>
  </si>
  <si>
    <t>She's Got the Beat</t>
  </si>
  <si>
    <t>Mushka</t>
  </si>
  <si>
    <t>Starstream</t>
  </si>
  <si>
    <t>Dominique's Slew</t>
  </si>
  <si>
    <t>I Lost My Choo</t>
  </si>
  <si>
    <t>Fairy Queen</t>
  </si>
  <si>
    <t>Ask the Moon</t>
  </si>
  <si>
    <t>Always Asking</t>
  </si>
  <si>
    <t>Coy Cat</t>
  </si>
  <si>
    <t>Shy Solana</t>
  </si>
  <si>
    <t>Palanka City</t>
  </si>
  <si>
    <t>Indian Sunset</t>
  </si>
  <si>
    <t>Forestry's Magic</t>
  </si>
  <si>
    <t>Magic Broad</t>
  </si>
  <si>
    <t>Made for Magic</t>
  </si>
  <si>
    <t>Only Seventeen</t>
  </si>
  <si>
    <t>Sassifaction</t>
  </si>
  <si>
    <t>Lonely Fact</t>
  </si>
  <si>
    <t>D'wild Ride</t>
  </si>
  <si>
    <t>Summer Storm</t>
  </si>
  <si>
    <t>Czechers</t>
  </si>
  <si>
    <t>Pine Rob</t>
  </si>
  <si>
    <t>Saxet Heights</t>
  </si>
  <si>
    <t>Holiday Ball</t>
  </si>
  <si>
    <t>Choice Play</t>
  </si>
  <si>
    <t>Sharp Eyes</t>
  </si>
  <si>
    <t>Black Dahlia (GB)</t>
  </si>
  <si>
    <t>South Rock (GB)</t>
  </si>
  <si>
    <t>Missit (IRE)</t>
  </si>
  <si>
    <t>High Spot (GB)</t>
  </si>
  <si>
    <t>Speed Dating</t>
  </si>
  <si>
    <t>Near and Dear</t>
  </si>
  <si>
    <t>Renda</t>
  </si>
  <si>
    <t>Ten Carats</t>
  </si>
  <si>
    <t>Don't Forget Gil</t>
  </si>
  <si>
    <t>Livermore Leslie</t>
  </si>
  <si>
    <t>Mullins Beach</t>
  </si>
  <si>
    <t>Treasure Beach</t>
  </si>
  <si>
    <t>Life At Ten</t>
  </si>
  <si>
    <t>Rahrahsixboombah</t>
  </si>
  <si>
    <t>Direction Home</t>
  </si>
  <si>
    <t>Battle Hymn</t>
  </si>
  <si>
    <t>Dr. Zic</t>
  </si>
  <si>
    <t>Royal Corona</t>
  </si>
  <si>
    <t>Forest Uproar</t>
  </si>
  <si>
    <t>Split the Arrow</t>
  </si>
  <si>
    <t>Hooh Why</t>
  </si>
  <si>
    <t>Magic Merger</t>
  </si>
  <si>
    <t>Gone Purrfect</t>
  </si>
  <si>
    <t>Silken Cat</t>
  </si>
  <si>
    <t>Miss Ocean City</t>
  </si>
  <si>
    <t>Madam Lagonza</t>
  </si>
  <si>
    <t>Broadway Hennessey</t>
  </si>
  <si>
    <t>Eastside Westside</t>
  </si>
  <si>
    <t>Greer Lynn</t>
  </si>
  <si>
    <t>Roll Over Baby</t>
  </si>
  <si>
    <t>Reforestation</t>
  </si>
  <si>
    <t>Wacky Becky</t>
  </si>
  <si>
    <t>Strike the Bell</t>
  </si>
  <si>
    <t>Vesper Cat</t>
  </si>
  <si>
    <t>Spokeswoman</t>
  </si>
  <si>
    <t>Key Phrase</t>
  </si>
  <si>
    <t>Tuscan Sunset</t>
  </si>
  <si>
    <t>Icelandic Dancer</t>
  </si>
  <si>
    <t>Sweet N Sour Nina</t>
  </si>
  <si>
    <t>Openstock</t>
  </si>
  <si>
    <t>Starlight Tiara</t>
  </si>
  <si>
    <t>Circle of Gold</t>
  </si>
  <si>
    <t>Snooze</t>
  </si>
  <si>
    <t>Daydreaming</t>
  </si>
  <si>
    <t>Indian Carlie</t>
  </si>
  <si>
    <t>Relaxing Green</t>
  </si>
  <si>
    <t>Jungle Tale</t>
  </si>
  <si>
    <t>Mary Kies</t>
  </si>
  <si>
    <t>Among the Willows</t>
  </si>
  <si>
    <t>Provence</t>
  </si>
  <si>
    <t>Versailles Treaty</t>
  </si>
  <si>
    <t>Carriage Trade</t>
  </si>
  <si>
    <t>Totemic</t>
  </si>
  <si>
    <t>Dakota Sue</t>
  </si>
  <si>
    <t>Fancy Prancer</t>
  </si>
  <si>
    <t>True Style</t>
  </si>
  <si>
    <t>Love Style</t>
  </si>
  <si>
    <t>Southern Fireball</t>
  </si>
  <si>
    <t>Hot Moon</t>
  </si>
  <si>
    <t>Gitchee Goomie</t>
  </si>
  <si>
    <t>Riotous Miss</t>
  </si>
  <si>
    <t>Exclusive Love</t>
  </si>
  <si>
    <t>Magic of Love (GB)</t>
  </si>
  <si>
    <t>City to City</t>
  </si>
  <si>
    <t>Stormbow</t>
  </si>
  <si>
    <t>Inlovewithlove</t>
  </si>
  <si>
    <t>Not a Solution</t>
  </si>
  <si>
    <t>Bonnie Blue Flag</t>
  </si>
  <si>
    <t>Tap Your Feet</t>
  </si>
  <si>
    <t>Tidal Pool</t>
  </si>
  <si>
    <t>Sea Rhythm</t>
  </si>
  <si>
    <t>Richiegirlgonewild</t>
  </si>
  <si>
    <t>Dream With Angels</t>
  </si>
  <si>
    <t>Home Sweet Aspen</t>
  </si>
  <si>
    <t>My Gal Groovy</t>
  </si>
  <si>
    <t>Big Happy Blur</t>
  </si>
  <si>
    <t>Bejat</t>
  </si>
  <si>
    <t>Alert Cat</t>
  </si>
  <si>
    <t>Hurricane Alert</t>
  </si>
  <si>
    <t>Her Smile</t>
  </si>
  <si>
    <t>Hepburn</t>
  </si>
  <si>
    <t>Lady On the Run</t>
  </si>
  <si>
    <t>Royal Relic</t>
  </si>
  <si>
    <t>Maggie McGowan</t>
  </si>
  <si>
    <t>Jewel of the Night</t>
  </si>
  <si>
    <t>Halloween Party</t>
  </si>
  <si>
    <t>Costume Party</t>
  </si>
  <si>
    <t>Mama Maxine</t>
  </si>
  <si>
    <t>Miss Houdini</t>
  </si>
  <si>
    <t>Brushed by a Star</t>
  </si>
  <si>
    <t>Brush Hour</t>
  </si>
  <si>
    <t>Bethan</t>
  </si>
  <si>
    <t>Turkish Tryst</t>
  </si>
  <si>
    <t>Jordy Y</t>
  </si>
  <si>
    <t>Debt Free</t>
  </si>
  <si>
    <t>Eccentric Life</t>
  </si>
  <si>
    <t>Concentric</t>
  </si>
  <si>
    <t>Mme Belle Brezing</t>
  </si>
  <si>
    <t>La Barberina</t>
  </si>
  <si>
    <t>Callmethesqueeze</t>
  </si>
  <si>
    <t>Mop Squeezer</t>
  </si>
  <si>
    <t>Holy Heavens</t>
  </si>
  <si>
    <t>Heavens Passport</t>
  </si>
  <si>
    <t>Bryan's Jewel</t>
  </si>
  <si>
    <t>Saphiria</t>
  </si>
  <si>
    <t>Fiscal Policy</t>
  </si>
  <si>
    <t>Betty's Courage</t>
  </si>
  <si>
    <t>Split Trois (FR)</t>
  </si>
  <si>
    <t>Auenpearl (GER)</t>
  </si>
  <si>
    <t>Belle Gallantey</t>
  </si>
  <si>
    <t>Revealed</t>
  </si>
  <si>
    <t>Undeterred</t>
  </si>
  <si>
    <t>Social Director</t>
  </si>
  <si>
    <t>Two-year-old</t>
  </si>
  <si>
    <t>Praire Cougar</t>
  </si>
  <si>
    <t>Signaprenuptial</t>
  </si>
  <si>
    <t>Irish Exchange</t>
  </si>
  <si>
    <t>Silver N Satin</t>
  </si>
  <si>
    <t>Expression</t>
  </si>
  <si>
    <t>Exotic West</t>
  </si>
  <si>
    <t>Smoke Train</t>
  </si>
  <si>
    <t>Stormy Spell</t>
  </si>
  <si>
    <t>Pure Smiles</t>
  </si>
  <si>
    <t>Shandra Smiles</t>
  </si>
  <si>
    <t>Safari Storm</t>
  </si>
  <si>
    <t>Londolozi</t>
  </si>
  <si>
    <t>Stormy Lucy</t>
  </si>
  <si>
    <t>Here Comes Lucinda</t>
  </si>
  <si>
    <t>Man Stuff</t>
  </si>
  <si>
    <t>Espresso Song</t>
  </si>
  <si>
    <t>Jemima's Pearl</t>
  </si>
  <si>
    <t>Jemima (GB)</t>
  </si>
  <si>
    <t>Tanasi</t>
  </si>
  <si>
    <t>Apache Pines</t>
  </si>
  <si>
    <t>Plethora</t>
  </si>
  <si>
    <t>Plenty</t>
  </si>
  <si>
    <t>Changing Plans</t>
  </si>
  <si>
    <t>Disposablepleasure</t>
  </si>
  <si>
    <t>My Canada</t>
  </si>
  <si>
    <t>In the Beat</t>
  </si>
  <si>
    <t>Rhythmical Beat</t>
  </si>
  <si>
    <t>So Sovereign</t>
  </si>
  <si>
    <t>Not So Pleasant</t>
  </si>
  <si>
    <t>Bodembender</t>
  </si>
  <si>
    <t>Karma Police</t>
  </si>
  <si>
    <t>Putbacktheglider</t>
  </si>
  <si>
    <t>Unavenged</t>
  </si>
  <si>
    <t>Naughty Natisha</t>
  </si>
  <si>
    <t>Singlet</t>
  </si>
  <si>
    <t>Taylor's Choice</t>
  </si>
  <si>
    <t>Maid To Master (IRE)</t>
  </si>
  <si>
    <t>Starlight Dreams</t>
  </si>
  <si>
    <t>Charlie's Legacy</t>
  </si>
  <si>
    <t>Lady's Legacy</t>
  </si>
  <si>
    <t>One Foxy Grey</t>
  </si>
  <si>
    <t>Irish Smoke</t>
  </si>
  <si>
    <t>Broken Sword</t>
  </si>
  <si>
    <t>Katana (NZ)</t>
  </si>
  <si>
    <t>Leinan</t>
  </si>
  <si>
    <t>Golden Mirage (IRE)</t>
  </si>
  <si>
    <t>Renee's Titan</t>
  </si>
  <si>
    <t>Titan Queen</t>
  </si>
  <si>
    <t>Untold</t>
  </si>
  <si>
    <t>Cappucino Bay</t>
  </si>
  <si>
    <t>Every Way</t>
  </si>
  <si>
    <t>Ever After</t>
  </si>
  <si>
    <t>Little Buxted</t>
  </si>
  <si>
    <t>Mo Cheoil Thu (IRE)</t>
  </si>
  <si>
    <t>Dream Harder</t>
  </si>
  <si>
    <t>Impending Storm</t>
  </si>
  <si>
    <t>Weanling</t>
  </si>
  <si>
    <t>Ciao Bella Luna</t>
  </si>
  <si>
    <t>Shadow of the Moon</t>
  </si>
  <si>
    <t>Sugarcraft</t>
  </si>
  <si>
    <t>Sugar Shake</t>
  </si>
  <si>
    <t>Distorted Music</t>
  </si>
  <si>
    <t>Music Room</t>
  </si>
  <si>
    <t>Gypsy Angel</t>
  </si>
  <si>
    <t>Michigan Bluff</t>
  </si>
  <si>
    <t>Magical Steps</t>
  </si>
  <si>
    <t>Mayville's Magic</t>
  </si>
  <si>
    <t>Un Blessed</t>
  </si>
  <si>
    <t>Plenty of Grace</t>
  </si>
  <si>
    <t>Unnatural</t>
  </si>
  <si>
    <t>Sahara Star (GB)</t>
  </si>
  <si>
    <t>Unforgiving</t>
  </si>
  <si>
    <t>Our Dani</t>
  </si>
  <si>
    <t>Zadig</t>
  </si>
  <si>
    <t>Cause I'm Tricky</t>
  </si>
  <si>
    <t>Kiss the Daddy</t>
  </si>
  <si>
    <t>Kiss the Breeze</t>
  </si>
  <si>
    <t>Maggie d'Oro</t>
  </si>
  <si>
    <t>Ionlyhaveeyesforu</t>
  </si>
  <si>
    <t>Intimacy</t>
  </si>
  <si>
    <t>Constant Companion</t>
  </si>
  <si>
    <t>Busy Bee</t>
  </si>
  <si>
    <t>Awesome Adele</t>
  </si>
  <si>
    <t>Unwound</t>
  </si>
  <si>
    <t>Joy Valley (BRZ)</t>
  </si>
  <si>
    <t>Invading Humor</t>
  </si>
  <si>
    <t>Very Funny</t>
  </si>
  <si>
    <t>Call Pat</t>
  </si>
  <si>
    <t>First Song</t>
  </si>
  <si>
    <t>Sky Treasure</t>
  </si>
  <si>
    <t>Preemptive Attack</t>
  </si>
  <si>
    <t>Winter Book</t>
  </si>
  <si>
    <t>Shawgatny</t>
  </si>
  <si>
    <t>Native Bombshell</t>
  </si>
  <si>
    <t>Flat Screen</t>
  </si>
  <si>
    <t>Shortbread Scotty</t>
  </si>
  <si>
    <t>Very Special Lite</t>
  </si>
  <si>
    <t>Speed Date</t>
  </si>
  <si>
    <t>Dial a Trick</t>
  </si>
  <si>
    <t>Unwooed</t>
  </si>
  <si>
    <t>Designatoree</t>
  </si>
  <si>
    <t>Madame Cactus</t>
  </si>
  <si>
    <t>An Annika Moment</t>
  </si>
  <si>
    <t>Madame Pele</t>
  </si>
  <si>
    <t>Striking Scholar</t>
  </si>
  <si>
    <t>Best Behavior</t>
  </si>
  <si>
    <t>Queenship</t>
  </si>
  <si>
    <t>Rivertown Belle</t>
  </si>
  <si>
    <t>Sweet Magie</t>
  </si>
  <si>
    <t>Prairy Kat (AUS)</t>
  </si>
  <si>
    <t>Categorical</t>
  </si>
  <si>
    <t>West Coast Chick</t>
  </si>
  <si>
    <t>Inventive</t>
  </si>
  <si>
    <t>Henny's Princess</t>
  </si>
  <si>
    <t>Stolen Heart</t>
  </si>
  <si>
    <t>She's Curly</t>
  </si>
  <si>
    <t>Shannon Faith</t>
  </si>
  <si>
    <t>Jessi Take Charge</t>
  </si>
  <si>
    <t>Sum Up</t>
  </si>
  <si>
    <t>Roger's Sue</t>
  </si>
  <si>
    <t>Make a Wish (FR)</t>
  </si>
  <si>
    <t>Tappintothemusic</t>
  </si>
  <si>
    <t>I'll Be Home</t>
  </si>
  <si>
    <t>One More Strike</t>
  </si>
  <si>
    <t>Julia Tuttle</t>
  </si>
  <si>
    <t>One More</t>
  </si>
  <si>
    <t>See Rock City</t>
  </si>
  <si>
    <t>Madly Truly</t>
  </si>
  <si>
    <t>Beautifulballerina</t>
  </si>
  <si>
    <t>Notte d'Oro</t>
  </si>
  <si>
    <t>May Night</t>
  </si>
  <si>
    <t>Rosalind</t>
  </si>
  <si>
    <t>Critics Acclaim</t>
  </si>
  <si>
    <t>Joint Return</t>
  </si>
  <si>
    <t>Brunswick Star</t>
  </si>
  <si>
    <t>Bound</t>
  </si>
  <si>
    <t>China Sky</t>
  </si>
  <si>
    <t>Tap It Rich</t>
  </si>
  <si>
    <t>Tightly Bridled</t>
  </si>
  <si>
    <t>Winning Bet</t>
  </si>
  <si>
    <t>Zinzay</t>
  </si>
  <si>
    <t>Dance Tap</t>
  </si>
  <si>
    <t>Game Show</t>
  </si>
  <si>
    <t>Tantris</t>
  </si>
  <si>
    <t>Meadow Breeze</t>
  </si>
  <si>
    <t>Spoiler Alert</t>
  </si>
  <si>
    <t>Hatano Debatto</t>
  </si>
  <si>
    <t>Woodman's Dancer</t>
  </si>
  <si>
    <t>Katie's Eyes</t>
  </si>
  <si>
    <t>Get an Eye Full</t>
  </si>
  <si>
    <t>Fortune Pearl</t>
  </si>
  <si>
    <t>Chelsea's Pearl</t>
  </si>
  <si>
    <t>Ice Cutter</t>
  </si>
  <si>
    <t>Roger Rocket</t>
  </si>
  <si>
    <t>Star Creation (IRE)</t>
  </si>
  <si>
    <t>Sallyport</t>
  </si>
  <si>
    <t>Lisieux</t>
  </si>
  <si>
    <t>Lonelily (IRE)</t>
  </si>
  <si>
    <t>Empress of France</t>
  </si>
  <si>
    <t>Al's Gal</t>
  </si>
  <si>
    <t>Dans La Ville (CHI)</t>
  </si>
  <si>
    <t>A Cut Ahead</t>
  </si>
  <si>
    <t>Istanford</t>
  </si>
  <si>
    <t>Aerocat</t>
  </si>
  <si>
    <t>My Conquestadory</t>
  </si>
  <si>
    <t>Golden Artemis</t>
  </si>
  <si>
    <t>Sheer Pleasure</t>
  </si>
  <si>
    <t>Kathryns Birthday</t>
  </si>
  <si>
    <t>Ayaady</t>
  </si>
  <si>
    <t>Evrobi</t>
  </si>
  <si>
    <t>Native Strike</t>
  </si>
  <si>
    <t>Pure Clan</t>
  </si>
  <si>
    <t>Nota Cambiata</t>
  </si>
  <si>
    <t>Lil Lady Big Purse</t>
  </si>
  <si>
    <t>Calais</t>
  </si>
  <si>
    <t>A Gala Day</t>
  </si>
  <si>
    <t>La Defense</t>
  </si>
  <si>
    <t>Chanteline</t>
  </si>
  <si>
    <t>Listen to Libby</t>
  </si>
  <si>
    <t>Billsperfectstorm</t>
  </si>
  <si>
    <t>Speed Succeeds</t>
  </si>
  <si>
    <t>Here Comes Chloe</t>
  </si>
  <si>
    <t>Shook Up</t>
  </si>
  <si>
    <t>What's Your Thesis</t>
  </si>
  <si>
    <t>Heatherdoesntbluff</t>
  </si>
  <si>
    <t>Frolic's Candy</t>
  </si>
  <si>
    <t>Frolic's Dream</t>
  </si>
  <si>
    <t>Light and Variable</t>
  </si>
  <si>
    <t>Cool Storm</t>
  </si>
  <si>
    <t>Broadway Show</t>
  </si>
  <si>
    <t>Ill Repute</t>
  </si>
  <si>
    <t>Peace Lilly</t>
  </si>
  <si>
    <t>Super Savvy</t>
  </si>
  <si>
    <t>Conquest Superstep</t>
  </si>
  <si>
    <t>Classic Romance</t>
  </si>
  <si>
    <t>Candlelightdinner</t>
  </si>
  <si>
    <t>Euroboss</t>
  </si>
  <si>
    <t>Mega</t>
  </si>
  <si>
    <t>Kisses for Romeo</t>
  </si>
  <si>
    <t>Contribution</t>
  </si>
  <si>
    <t>Ben's Duchess</t>
  </si>
  <si>
    <t>Armathwaite</t>
  </si>
  <si>
    <t>Max's Warrior</t>
  </si>
  <si>
    <t>Piney Woods</t>
  </si>
  <si>
    <t>Summer Valentine</t>
  </si>
  <si>
    <t>One Charming Devil</t>
  </si>
  <si>
    <t>Ol' Fashion Gal</t>
  </si>
  <si>
    <t>Little Hussy</t>
  </si>
  <si>
    <t>Indian Goddess</t>
  </si>
  <si>
    <t>Greyciousness</t>
  </si>
  <si>
    <t>Prospector</t>
  </si>
  <si>
    <t>Dr. Toole</t>
  </si>
  <si>
    <t>Coup d'Oeil</t>
  </si>
  <si>
    <t>Capar Girl</t>
  </si>
  <si>
    <t>Bumble Bee Mama</t>
  </si>
  <si>
    <t>My Super Nova</t>
  </si>
  <si>
    <t>Reddem</t>
  </si>
  <si>
    <t>Red Diadem (GB)</t>
  </si>
  <si>
    <t>Zo Zo</t>
  </si>
  <si>
    <t>Gulch Affair</t>
  </si>
  <si>
    <t>Distinta</t>
  </si>
  <si>
    <t>Miss Kitty</t>
  </si>
  <si>
    <t>Farraj</t>
  </si>
  <si>
    <t>Rhumb Line</t>
  </si>
  <si>
    <t>To Start</t>
  </si>
  <si>
    <t>Illuminant</t>
  </si>
  <si>
    <t>Sparkling Number</t>
  </si>
  <si>
    <t>Moon Wonder</t>
  </si>
  <si>
    <t>Wandering Pine</t>
  </si>
  <si>
    <t>Lemon Gala</t>
  </si>
  <si>
    <t>Galadriel</t>
  </si>
  <si>
    <t>Sebonack</t>
  </si>
  <si>
    <t>Bossmon</t>
  </si>
  <si>
    <t>Neilinger</t>
  </si>
  <si>
    <t>Pursuit of Glory (IRE)</t>
  </si>
  <si>
    <t>War Ride</t>
  </si>
  <si>
    <t>Exotic Bet</t>
  </si>
  <si>
    <t>Spanish Pipedream</t>
  </si>
  <si>
    <t>Doc's Leading Lady</t>
  </si>
  <si>
    <t>Starship Carnegie</t>
  </si>
  <si>
    <t>Heavenly Summer</t>
  </si>
  <si>
    <t>Save Our Oceans</t>
  </si>
  <si>
    <t>Unbelievable (IRE)</t>
  </si>
  <si>
    <t>Maryinsky (IRE)</t>
  </si>
  <si>
    <t>No Dress Rehearsal</t>
  </si>
  <si>
    <t>Illuminance</t>
  </si>
  <si>
    <t>Tricky Zippy</t>
  </si>
  <si>
    <t>Honky Tonk Trick</t>
  </si>
  <si>
    <t>J R Thunder</t>
  </si>
  <si>
    <t>Abbey's Missy</t>
  </si>
  <si>
    <t>Danza Cavallo (FR)</t>
  </si>
  <si>
    <t>Tropical Mark (GB)</t>
  </si>
  <si>
    <t>Charlie's Angel (FR)</t>
  </si>
  <si>
    <t>Classic Actress</t>
  </si>
  <si>
    <t>Grand Persona</t>
  </si>
  <si>
    <t>Tiz Madness</t>
  </si>
  <si>
    <t>Investigator</t>
  </si>
  <si>
    <t>Frugal Franny</t>
  </si>
  <si>
    <t>Westfest</t>
  </si>
  <si>
    <t>Nawlins Kitty</t>
  </si>
  <si>
    <t>Tensas Punch</t>
  </si>
  <si>
    <t>Quality Kay</t>
  </si>
  <si>
    <t>Hay Field</t>
  </si>
  <si>
    <t>My Indian</t>
  </si>
  <si>
    <t>Giant Storm</t>
  </si>
  <si>
    <t>Conquest Streetwar</t>
  </si>
  <si>
    <t>Vibrato</t>
  </si>
  <si>
    <t>Cuff Me</t>
  </si>
  <si>
    <t>Agronomy</t>
  </si>
  <si>
    <t>Marty Montana</t>
  </si>
  <si>
    <t>Cashconsiderations</t>
  </si>
  <si>
    <t>Latin Lynx</t>
  </si>
  <si>
    <t>Insta Erma</t>
  </si>
  <si>
    <t>Enchanted Woods</t>
  </si>
  <si>
    <t>Dehbashi</t>
  </si>
  <si>
    <t>Tom's d'Etat</t>
  </si>
  <si>
    <t>Wyeth</t>
  </si>
  <si>
    <t>Peace Time</t>
  </si>
  <si>
    <t>Santa Catarina</t>
  </si>
  <si>
    <t>Pick Pocket</t>
  </si>
  <si>
    <t>Iteration</t>
  </si>
  <si>
    <t>Rolly's Girl</t>
  </si>
  <si>
    <t>New York Candy</t>
  </si>
  <si>
    <t>Paola Queen</t>
  </si>
  <si>
    <t>Kadira</t>
  </si>
  <si>
    <t>Cantate Domino</t>
  </si>
  <si>
    <t>You Cheated</t>
  </si>
  <si>
    <t>Zipper Zapper</t>
  </si>
  <si>
    <t>Coco as in Chanel</t>
  </si>
  <si>
    <t>Surf N Sand</t>
  </si>
  <si>
    <t>Sweet Carrie</t>
  </si>
  <si>
    <t>Dalsaros</t>
  </si>
  <si>
    <t>Cathryn Sophia</t>
  </si>
  <si>
    <t>Sheave</t>
  </si>
  <si>
    <t>Barbarenda</t>
  </si>
  <si>
    <t>Karma Delight</t>
  </si>
  <si>
    <t>Schott</t>
  </si>
  <si>
    <t>Amen Hallelujah</t>
  </si>
  <si>
    <t>Im Not Playing</t>
  </si>
  <si>
    <t>Navigating</t>
  </si>
  <si>
    <t>Shelbysmile</t>
  </si>
  <si>
    <t>Sultana</t>
  </si>
  <si>
    <t>Feed the Streak</t>
  </si>
  <si>
    <t>Charming Toutsie</t>
  </si>
  <si>
    <t>Rubies Are Red</t>
  </si>
  <si>
    <t>Tap Your Heels</t>
  </si>
  <si>
    <t>Outsider Art</t>
  </si>
  <si>
    <t>Pepita</t>
  </si>
  <si>
    <t>Mafruka</t>
  </si>
  <si>
    <t>Inside Straight</t>
  </si>
  <si>
    <t>Converge</t>
  </si>
  <si>
    <t>Ma Can Do It</t>
  </si>
  <si>
    <t>Two Fer Place</t>
  </si>
  <si>
    <t>Playmates Arch</t>
  </si>
  <si>
    <t>Lahad</t>
  </si>
  <si>
    <t>Colonel Cody</t>
  </si>
  <si>
    <t>Thermopylae</t>
  </si>
  <si>
    <t>Al Hayyah (IRE)</t>
  </si>
  <si>
    <t>Pricedtoperfection</t>
  </si>
  <si>
    <t>Glittering Tax</t>
  </si>
  <si>
    <t>Lady Oak (IRE)</t>
  </si>
  <si>
    <t>Lady of Kildare (IRE)</t>
  </si>
  <si>
    <t>Leroy Way</t>
  </si>
  <si>
    <t>Messer Misfit</t>
  </si>
  <si>
    <t>Monetary System</t>
  </si>
  <si>
    <t>Lifeboat Lad</t>
  </si>
  <si>
    <t>Bema</t>
  </si>
  <si>
    <t>Indian Gem</t>
  </si>
  <si>
    <t>Nizzi</t>
  </si>
  <si>
    <t>Go Forth North</t>
  </si>
  <si>
    <t>Uncle Tbone</t>
  </si>
  <si>
    <t>Iron Mizz</t>
  </si>
  <si>
    <t>Iron Goddess</t>
  </si>
  <si>
    <t>Aspen Hilltop</t>
  </si>
  <si>
    <t>Megatherm</t>
  </si>
  <si>
    <t>Awesome Mil</t>
  </si>
  <si>
    <t>Slewacandy</t>
  </si>
  <si>
    <t>Borodino</t>
  </si>
  <si>
    <t>Taptam</t>
  </si>
  <si>
    <t>Val's Lemon Drop</t>
  </si>
  <si>
    <t>Untoward (IRE)</t>
  </si>
  <si>
    <t>Souper Fly Over</t>
  </si>
  <si>
    <t>Coors Lute</t>
  </si>
  <si>
    <t>Juenesse Doree</t>
  </si>
  <si>
    <t>Fiery Opal</t>
  </si>
  <si>
    <t>Mattie Ross</t>
  </si>
  <si>
    <t>Spender</t>
  </si>
  <si>
    <t>Stallion Heiress</t>
  </si>
  <si>
    <t>Mendocino Beano</t>
  </si>
  <si>
    <t>Dalat Gold</t>
  </si>
  <si>
    <t>Source Control</t>
  </si>
  <si>
    <t>Canaletto</t>
  </si>
  <si>
    <t>Feisty Tomboy</t>
  </si>
  <si>
    <t>Zaharias</t>
  </si>
  <si>
    <t>Last Stage</t>
  </si>
  <si>
    <t>Blitz and Glamour</t>
  </si>
  <si>
    <t>Spicey Roux</t>
  </si>
  <si>
    <t>Grey Queen</t>
  </si>
  <si>
    <t>Dalmiya (IRE)</t>
  </si>
  <si>
    <t>Ingrid</t>
  </si>
  <si>
    <t>Excessivespending</t>
  </si>
  <si>
    <t>Excessing</t>
  </si>
  <si>
    <t>Mummy Troll</t>
  </si>
  <si>
    <t>Mabadi</t>
  </si>
  <si>
    <t>Bode's Dream</t>
  </si>
  <si>
    <t>Dharmaster</t>
  </si>
  <si>
    <t>Bodaciousness</t>
  </si>
  <si>
    <t>Rock Doc</t>
  </si>
  <si>
    <t>Paz the Bourbon</t>
  </si>
  <si>
    <t>Kettle's Sister</t>
  </si>
  <si>
    <t>Gorrito</t>
  </si>
  <si>
    <t>Glorious Hour</t>
  </si>
  <si>
    <t>Laskarina</t>
  </si>
  <si>
    <t>General Jeanne</t>
  </si>
  <si>
    <t>Hot Dad</t>
  </si>
  <si>
    <t>Stolen Candy</t>
  </si>
  <si>
    <t>Unamused</t>
  </si>
  <si>
    <t>Star of Bristol</t>
  </si>
  <si>
    <t>You Promise</t>
  </si>
  <si>
    <t>Lion in Wait</t>
  </si>
  <si>
    <t>Don't Surprise Me</t>
  </si>
  <si>
    <t>Diamondinthecenter</t>
  </si>
  <si>
    <t>One Call Away</t>
  </si>
  <si>
    <t>Buxted Dream</t>
  </si>
  <si>
    <t>America Nova (FR)</t>
  </si>
  <si>
    <t>Southern Sis</t>
  </si>
  <si>
    <t>Countess Proud</t>
  </si>
  <si>
    <t>Stormy Embrace</t>
  </si>
  <si>
    <t>Stormy Allure</t>
  </si>
  <si>
    <t>Con Te Partiro</t>
  </si>
  <si>
    <t>Temple Street</t>
  </si>
  <si>
    <t>Mister Delfio</t>
  </si>
  <si>
    <t>Spring Tempest</t>
  </si>
  <si>
    <t>Hold the Sugar</t>
  </si>
  <si>
    <t>Bob W.</t>
  </si>
  <si>
    <t>Trappingsofsilver</t>
  </si>
  <si>
    <t>Marshall Plan</t>
  </si>
  <si>
    <t>Versailles Song</t>
  </si>
  <si>
    <t>Proud Mission</t>
  </si>
  <si>
    <t>Wild and Proud</t>
  </si>
  <si>
    <t>Hotshot Anna</t>
  </si>
  <si>
    <t>Avalos</t>
  </si>
  <si>
    <t>Jurere</t>
  </si>
  <si>
    <t>Weekendwithyou</t>
  </si>
  <si>
    <t>Shakin Dice</t>
  </si>
  <si>
    <t>We Should Talk</t>
  </si>
  <si>
    <t>Sarah Her Highness</t>
  </si>
  <si>
    <t>Lighthawk</t>
  </si>
  <si>
    <t>Lighthouse Bay</t>
  </si>
  <si>
    <t>Forgotten Lady</t>
  </si>
  <si>
    <t>Nikkis Smartypants</t>
  </si>
  <si>
    <t>Trentino</t>
  </si>
  <si>
    <t>Holy Wine</t>
  </si>
  <si>
    <t>Line of Departure</t>
  </si>
  <si>
    <t>Wild N Ready</t>
  </si>
  <si>
    <t>Cicatrix</t>
  </si>
  <si>
    <t>Provincial</t>
  </si>
  <si>
    <t>Paulita</t>
  </si>
  <si>
    <t>Blind Date</t>
  </si>
  <si>
    <t>Optimum</t>
  </si>
  <si>
    <t>Blushing Lady</t>
  </si>
  <si>
    <t>Cellar Door</t>
  </si>
  <si>
    <t>Nitro Fuel</t>
  </si>
  <si>
    <t>Saturdaynightstrut</t>
  </si>
  <si>
    <t>New York Central</t>
  </si>
  <si>
    <t>El Mas Puro</t>
  </si>
  <si>
    <t>Sabellina's Sister</t>
  </si>
  <si>
    <t>Royal Lahaina</t>
  </si>
  <si>
    <t>March X Press</t>
  </si>
  <si>
    <t>Indian Rush</t>
  </si>
  <si>
    <t>Jo Jo's Candy</t>
  </si>
  <si>
    <t>Black Water</t>
  </si>
  <si>
    <t>Discount Diva</t>
  </si>
  <si>
    <t>King Humor</t>
  </si>
  <si>
    <t>Pardon Me Girls</t>
  </si>
  <si>
    <t>Pardonmecomingthru</t>
  </si>
  <si>
    <t>Big Gemmy</t>
  </si>
  <si>
    <t>Simona</t>
  </si>
  <si>
    <t>Bella Dubai</t>
  </si>
  <si>
    <t>Our Hope Diamond</t>
  </si>
  <si>
    <t>Magnetron</t>
  </si>
  <si>
    <t>Special Trip</t>
  </si>
  <si>
    <t>Miminegash</t>
  </si>
  <si>
    <t>Watch What Happens</t>
  </si>
  <si>
    <t>Sea My Moves</t>
  </si>
  <si>
    <t>Funny Duck</t>
  </si>
  <si>
    <t>Princessdaisyleigh</t>
  </si>
  <si>
    <t>Cherry Sherry</t>
  </si>
  <si>
    <t>Laudation</t>
  </si>
  <si>
    <t>Rite Moment</t>
  </si>
  <si>
    <t>Aspening</t>
  </si>
  <si>
    <t>Motokiks</t>
  </si>
  <si>
    <t>Smashing Serena</t>
  </si>
  <si>
    <t>Federer</t>
  </si>
  <si>
    <t>Replicator</t>
  </si>
  <si>
    <t>Mollyball</t>
  </si>
  <si>
    <t>Montecarlo</t>
  </si>
  <si>
    <t>True Loyalty</t>
  </si>
  <si>
    <t>Lairy Daks</t>
  </si>
  <si>
    <t>Life's a Gamble</t>
  </si>
  <si>
    <t>Holy Princess</t>
  </si>
  <si>
    <t>Mrs. Ramona G.</t>
  </si>
  <si>
    <t>Barbarella</t>
  </si>
  <si>
    <t>Dothraki Sea</t>
  </si>
  <si>
    <t>Graybrooke</t>
  </si>
  <si>
    <t>Candy Choo</t>
  </si>
  <si>
    <t>Goodthingstaketime (IRE)</t>
  </si>
  <si>
    <t>Addictedtoprogress (IRE)</t>
  </si>
  <si>
    <t>Holy Charge</t>
  </si>
  <si>
    <t>Holy Dazzle</t>
  </si>
  <si>
    <t>Empress Sophia</t>
  </si>
  <si>
    <t>Spinworthy</t>
  </si>
  <si>
    <t>Spinnette (IRE)</t>
  </si>
  <si>
    <t>Winter Wolf</t>
  </si>
  <si>
    <t>Luna's in Charge</t>
  </si>
  <si>
    <t>Proud Emma</t>
  </si>
  <si>
    <t>Debutante Dreamer</t>
  </si>
  <si>
    <t>Dreams Are Mine</t>
  </si>
  <si>
    <t>Little Widow Maker</t>
  </si>
  <si>
    <t>Bronx Bomber</t>
  </si>
  <si>
    <t>Straphanger</t>
  </si>
  <si>
    <t>Reflect</t>
  </si>
  <si>
    <t>Scat Patty</t>
  </si>
  <si>
    <t>Chargin Texan</t>
  </si>
  <si>
    <t>Arguto</t>
  </si>
  <si>
    <t>Determinationpower</t>
  </si>
  <si>
    <t>Peace Parade</t>
  </si>
  <si>
    <t>On Parade</t>
  </si>
  <si>
    <t>Bourbonandbiznezz</t>
  </si>
  <si>
    <t>Molly Corbin</t>
  </si>
  <si>
    <t>Snowmass</t>
  </si>
  <si>
    <t>Dreaming of You</t>
  </si>
  <si>
    <t>Surreptitious</t>
  </si>
  <si>
    <t>Halfway</t>
  </si>
  <si>
    <t>Toscana</t>
  </si>
  <si>
    <t>Broadway d'Oro</t>
  </si>
  <si>
    <t>Chelsea Market</t>
  </si>
  <si>
    <t>Chic</t>
  </si>
  <si>
    <t>Proud and Loud</t>
  </si>
  <si>
    <t>Power Link</t>
  </si>
  <si>
    <t>Stephanie's Sister</t>
  </si>
  <si>
    <t>Hallmark Girl</t>
  </si>
  <si>
    <t>Ellyb</t>
  </si>
  <si>
    <t>Altea (FR)</t>
  </si>
  <si>
    <t>Ensis (SPA)</t>
  </si>
  <si>
    <t>Sky Shaft</t>
  </si>
  <si>
    <t>Glorious Sky</t>
  </si>
  <si>
    <t>Bohemian Bourbon</t>
  </si>
  <si>
    <t>Irene Adler</t>
  </si>
  <si>
    <t>Kirsch Truffle</t>
  </si>
  <si>
    <t>Free Cover</t>
  </si>
  <si>
    <t>Boujie Girl</t>
  </si>
  <si>
    <t>Super Girlie</t>
  </si>
  <si>
    <t>Big Torch Key</t>
  </si>
  <si>
    <t>Qafeef</t>
  </si>
  <si>
    <t>Little Gemma</t>
  </si>
  <si>
    <t>R H Danceing Queen</t>
  </si>
  <si>
    <t>Black Dynamite</t>
  </si>
  <si>
    <t>Arrostos</t>
  </si>
  <si>
    <t>Lone Pioneer</t>
  </si>
  <si>
    <t>Superado</t>
  </si>
  <si>
    <t>Miss Bigly</t>
  </si>
  <si>
    <t>Federal Guy</t>
  </si>
  <si>
    <t>Johnnie Guitar</t>
  </si>
  <si>
    <t>Good Mood (IRE)</t>
  </si>
  <si>
    <t>Shear Class</t>
  </si>
  <si>
    <t>Molto Bella</t>
  </si>
  <si>
    <t>Dueling</t>
  </si>
  <si>
    <t>Seattle Qui</t>
  </si>
  <si>
    <t>Fabuleux</t>
  </si>
  <si>
    <t>Afleet Moment</t>
  </si>
  <si>
    <t>Midnight Fantasy</t>
  </si>
  <si>
    <t>St. Jean</t>
  </si>
  <si>
    <t>Inthemidstofbiz</t>
  </si>
  <si>
    <t>Midst</t>
  </si>
  <si>
    <t>Tagline</t>
  </si>
  <si>
    <t>Special Smoke</t>
  </si>
  <si>
    <t>Moonlight Romance</t>
  </si>
  <si>
    <t>Envious Moon</t>
  </si>
  <si>
    <t>Asano</t>
  </si>
  <si>
    <t>Potantico</t>
  </si>
  <si>
    <t>Fast Bird</t>
  </si>
  <si>
    <t>Vaiana</t>
  </si>
  <si>
    <t>Love Child</t>
  </si>
  <si>
    <t>Pole Setter</t>
  </si>
  <si>
    <t>Jewel of Arabia</t>
  </si>
  <si>
    <t>Purrfectly Mine</t>
  </si>
  <si>
    <t>Frose</t>
  </si>
  <si>
    <t>Thea's Theme</t>
  </si>
  <si>
    <t>Open Lengths</t>
  </si>
  <si>
    <t>Carpe Momentum</t>
  </si>
  <si>
    <t>Cape Cod</t>
  </si>
  <si>
    <t>Song of Me</t>
  </si>
  <si>
    <t>Stallion / Racing Prospect</t>
  </si>
  <si>
    <t>Global Brand</t>
  </si>
  <si>
    <t>Marketing Mix</t>
  </si>
  <si>
    <t>Castle and Key</t>
  </si>
  <si>
    <t>Deja Blu</t>
  </si>
  <si>
    <t>Gerrymandering</t>
  </si>
  <si>
    <t>Dawn's Early Light</t>
  </si>
  <si>
    <t>Ancient Times</t>
  </si>
  <si>
    <t>Naansense</t>
  </si>
  <si>
    <t>Flatten</t>
  </si>
  <si>
    <t>Hot Rendezvous</t>
  </si>
  <si>
    <t>Moana's Tale</t>
  </si>
  <si>
    <t>Charlatan</t>
  </si>
  <si>
    <t>Authenticity</t>
  </si>
  <si>
    <t>Aubrey Tate</t>
  </si>
  <si>
    <t>Honor Among Men</t>
  </si>
  <si>
    <t>Sweet Destiny</t>
  </si>
  <si>
    <t>Thats Bomb</t>
  </si>
  <si>
    <t>Mom's Eye Candy</t>
  </si>
  <si>
    <t>Repeal and Replace</t>
  </si>
  <si>
    <t>Czechmight</t>
  </si>
  <si>
    <t>Sikum</t>
  </si>
  <si>
    <t>Canihaveitlikethat</t>
  </si>
  <si>
    <t>Ragtime Blues</t>
  </si>
  <si>
    <t>Home of the Blues</t>
  </si>
  <si>
    <t>Blood Moon</t>
  </si>
  <si>
    <t>Stormy Gigi</t>
  </si>
  <si>
    <t>Fort McHenry</t>
  </si>
  <si>
    <t>Love the Chase</t>
  </si>
  <si>
    <t>Rifle</t>
  </si>
  <si>
    <t>Auction Fever</t>
  </si>
  <si>
    <t>Boddington</t>
  </si>
  <si>
    <t>Daredevil Carl</t>
  </si>
  <si>
    <t>Censored</t>
  </si>
  <si>
    <t>Miss Centerfold</t>
  </si>
  <si>
    <t>Eight Rings</t>
  </si>
  <si>
    <t>Purely Hot</t>
  </si>
  <si>
    <t>Blood Curdling</t>
  </si>
  <si>
    <t>Allure Fortune</t>
  </si>
  <si>
    <t>I Dazzle</t>
  </si>
  <si>
    <t>Flaming Rouge</t>
  </si>
  <si>
    <t>Chateau Hope</t>
  </si>
  <si>
    <t>Devilish Mood</t>
  </si>
  <si>
    <t>Mo Hawk</t>
  </si>
  <si>
    <t>Princess Arabella</t>
  </si>
  <si>
    <t>Authentic</t>
  </si>
  <si>
    <t>Flawless</t>
  </si>
  <si>
    <t>Goulding</t>
  </si>
  <si>
    <t>Never Heard of Her</t>
  </si>
  <si>
    <t>Eel Point</t>
  </si>
  <si>
    <t>Sweet Tess</t>
  </si>
  <si>
    <t>Racing prospect</t>
  </si>
  <si>
    <t>Auntie Mabel</t>
  </si>
  <si>
    <t>Koko Star</t>
  </si>
  <si>
    <t>Azul Coast</t>
  </si>
  <si>
    <t>Three Lions</t>
  </si>
  <si>
    <t>Christmas Pickles</t>
  </si>
  <si>
    <t>Magic Mojo</t>
  </si>
  <si>
    <t>Caracaro</t>
  </si>
  <si>
    <t>Zuzudini</t>
  </si>
  <si>
    <t>Devine Trinity</t>
  </si>
  <si>
    <t>Heywoods Beach</t>
  </si>
  <si>
    <t>Count Your Pennies</t>
  </si>
  <si>
    <t>Gold Souk</t>
  </si>
  <si>
    <t>Forward</t>
  </si>
  <si>
    <t>Miss Tapirado</t>
  </si>
  <si>
    <t>Savedbythebelle</t>
  </si>
  <si>
    <t>Dark Lightning</t>
  </si>
  <si>
    <t>Magic Sam</t>
  </si>
  <si>
    <t>More Than Magic</t>
  </si>
  <si>
    <t>Menelik</t>
  </si>
  <si>
    <t>Golden Sheba</t>
  </si>
  <si>
    <t>Lope Y Fernandez (IRE)</t>
  </si>
  <si>
    <t>Follow the Flag</t>
  </si>
  <si>
    <t>Evocative</t>
  </si>
  <si>
    <t>Mariner Qui</t>
  </si>
  <si>
    <t>Centrifuge</t>
  </si>
  <si>
    <t>Serena's Cat</t>
  </si>
  <si>
    <t>Delaware Destiny</t>
  </si>
  <si>
    <t>Zertz</t>
  </si>
  <si>
    <t>Miacomet</t>
  </si>
  <si>
    <t>Rebelle</t>
  </si>
  <si>
    <t>Spielberg</t>
  </si>
  <si>
    <t>Miss Squeal</t>
  </si>
  <si>
    <t>Call Me Happy</t>
  </si>
  <si>
    <t>Blitz to Win</t>
  </si>
  <si>
    <t>Juror Number Four</t>
  </si>
  <si>
    <t>Tasha's Moon</t>
  </si>
  <si>
    <t>Lake Falcon</t>
  </si>
  <si>
    <t>Grand Ave Girl</t>
  </si>
  <si>
    <t>Wait for Nairobi</t>
  </si>
  <si>
    <t>Sheriff Bianco</t>
  </si>
  <si>
    <t>Summer Rules</t>
  </si>
  <si>
    <t>Anejo</t>
  </si>
  <si>
    <t>Lady War Machine</t>
  </si>
  <si>
    <t>Dirty Dangle</t>
  </si>
  <si>
    <t>Chambray</t>
  </si>
  <si>
    <t>Dun Right</t>
  </si>
  <si>
    <t>Baaher</t>
  </si>
  <si>
    <t>Money Mike</t>
  </si>
  <si>
    <t>Ahh Chocolate</t>
  </si>
  <si>
    <t>Bezos</t>
  </si>
  <si>
    <t>A P Mink</t>
  </si>
  <si>
    <t>Queensferry</t>
  </si>
  <si>
    <t>Torren's Tale</t>
  </si>
  <si>
    <t>Showpower</t>
  </si>
  <si>
    <t>Jenny's Rocket</t>
  </si>
  <si>
    <t>River of No Return</t>
  </si>
  <si>
    <t>Emma and I</t>
  </si>
  <si>
    <t>Hozier</t>
  </si>
  <si>
    <t>Merry Meadow</t>
  </si>
  <si>
    <t>Classier</t>
  </si>
  <si>
    <t>Class Will Tell</t>
  </si>
  <si>
    <t>Irish Constitution</t>
  </si>
  <si>
    <t>Tenor</t>
  </si>
  <si>
    <t>Lyrical Moment</t>
  </si>
  <si>
    <t>Rock Chant</t>
  </si>
  <si>
    <t>Lady Edith</t>
  </si>
  <si>
    <t>Lady Grantham</t>
  </si>
  <si>
    <t>Vivien's Charm</t>
  </si>
  <si>
    <t>Double Chocolate</t>
  </si>
  <si>
    <t>Hopkins</t>
  </si>
  <si>
    <t>Hot Spell</t>
  </si>
  <si>
    <t>Lagertha (CHI)</t>
  </si>
  <si>
    <t>Pat (CHI)</t>
  </si>
  <si>
    <t>Karnak</t>
  </si>
  <si>
    <t>Feliciano</t>
  </si>
  <si>
    <t>Tiger Groom</t>
  </si>
  <si>
    <t>Kayaker</t>
  </si>
  <si>
    <t>Primary Endpoint</t>
  </si>
  <si>
    <t>Pentagon</t>
  </si>
  <si>
    <t>Bravo Bravo</t>
  </si>
  <si>
    <t>Pioneer's Candy</t>
  </si>
  <si>
    <t>First Hour</t>
  </si>
  <si>
    <t>Tarantino</t>
  </si>
  <si>
    <t>Without Delay</t>
  </si>
  <si>
    <t>Carrobio</t>
  </si>
  <si>
    <t>Ragtime Hope</t>
  </si>
  <si>
    <t>Nice Choegang</t>
  </si>
  <si>
    <t>Gloucestershire</t>
  </si>
  <si>
    <t>Gagetown</t>
  </si>
  <si>
    <t>Achilleus</t>
  </si>
  <si>
    <t>Going Beserk</t>
  </si>
  <si>
    <t>Kate's Kingdom</t>
  </si>
  <si>
    <t>Don'tgetmadalexis</t>
  </si>
  <si>
    <t>Downsideprotection</t>
  </si>
  <si>
    <t>Saffa's Day</t>
  </si>
  <si>
    <t>Anukis</t>
  </si>
  <si>
    <t>Myopic</t>
  </si>
  <si>
    <t>Summer Sweetheart</t>
  </si>
  <si>
    <t>Donatella</t>
  </si>
  <si>
    <t>White Fire</t>
  </si>
  <si>
    <t>Sumthingtotalkabt</t>
  </si>
  <si>
    <t>Meaningful Pursuit</t>
  </si>
  <si>
    <t>Wecallherqueenmary</t>
  </si>
  <si>
    <t>Dream Keeper</t>
  </si>
  <si>
    <t>Fuchsia</t>
  </si>
  <si>
    <t>Almaan</t>
  </si>
  <si>
    <t>Newbomb</t>
  </si>
  <si>
    <t>Backstreet Gal</t>
  </si>
  <si>
    <t>Spritz</t>
  </si>
  <si>
    <t>Fenway</t>
  </si>
  <si>
    <t>Keysong</t>
  </si>
  <si>
    <t>Beyond Proper</t>
  </si>
  <si>
    <t>Summerlin</t>
  </si>
  <si>
    <t>Hazelbrook</t>
  </si>
  <si>
    <t>Zaphia</t>
  </si>
  <si>
    <t>Cafe Society</t>
  </si>
  <si>
    <t>Full Tap</t>
  </si>
  <si>
    <t>Whiskey and Rye</t>
  </si>
  <si>
    <t>Ava G</t>
  </si>
  <si>
    <t>Scottsdale</t>
  </si>
  <si>
    <t>Cronus</t>
  </si>
  <si>
    <t>Red Moon Girl</t>
  </si>
  <si>
    <t>Shack the Life</t>
  </si>
  <si>
    <t>Freedom Fighter</t>
  </si>
  <si>
    <t>Canadian Ballet</t>
  </si>
  <si>
    <t>Settler</t>
  </si>
  <si>
    <t>Knopfler</t>
  </si>
  <si>
    <t>What a Lily</t>
  </si>
  <si>
    <t>Amen Corner (AUS)</t>
  </si>
  <si>
    <t>Augusta Proud (AUS)</t>
  </si>
  <si>
    <t>Dubrovnik</t>
  </si>
  <si>
    <t>Scent of Summer</t>
  </si>
  <si>
    <t>Carbonite</t>
  </si>
  <si>
    <t>Ms. Short Fuze</t>
  </si>
  <si>
    <t>Marco Polo</t>
  </si>
  <si>
    <t>Charlatana</t>
  </si>
  <si>
    <t>Newgrange</t>
  </si>
  <si>
    <t>Bella Chianti</t>
  </si>
  <si>
    <t>Bourbon's Hope</t>
  </si>
  <si>
    <t>Murray</t>
  </si>
  <si>
    <t>Now Now</t>
  </si>
  <si>
    <t>Coppola</t>
  </si>
  <si>
    <t>Blind Copy</t>
  </si>
  <si>
    <t>Encode</t>
  </si>
  <si>
    <t>Quantify</t>
  </si>
  <si>
    <t>Aqua Julia</t>
  </si>
  <si>
    <t>Barstow</t>
  </si>
  <si>
    <t>Jacko's Day Out</t>
  </si>
  <si>
    <t>Block Party</t>
  </si>
  <si>
    <t>Block</t>
  </si>
  <si>
    <t>Alittlesliceof Pie</t>
  </si>
  <si>
    <t>Blue Devil</t>
  </si>
  <si>
    <t>Apologize</t>
  </si>
  <si>
    <t>Montebello</t>
  </si>
  <si>
    <t>Beautiful But Blue</t>
  </si>
  <si>
    <t>Western Cape</t>
  </si>
  <si>
    <t>Out Post</t>
  </si>
  <si>
    <t>Rhetoric</t>
  </si>
  <si>
    <t>Hard Not to Like</t>
  </si>
  <si>
    <t>Masterson</t>
  </si>
  <si>
    <t>Draw It</t>
  </si>
  <si>
    <t>Exaggerated Nikki</t>
  </si>
  <si>
    <t>Wesleyan</t>
  </si>
  <si>
    <t>Makena</t>
  </si>
  <si>
    <t>D' bode Ride</t>
  </si>
  <si>
    <t>Messier</t>
  </si>
  <si>
    <t>Checkered Past</t>
  </si>
  <si>
    <t>Cute Blonde</t>
  </si>
  <si>
    <t>Kendall Square</t>
  </si>
  <si>
    <t>Yes It's Jackie</t>
  </si>
  <si>
    <t>Faneuil Hall</t>
  </si>
  <si>
    <t>Wild Grace</t>
  </si>
  <si>
    <t>Rockefeller</t>
  </si>
  <si>
    <t>Dance to Bristol</t>
  </si>
  <si>
    <t>Three Wolves</t>
  </si>
  <si>
    <t>Karmari</t>
  </si>
  <si>
    <t>Crazy Happy</t>
  </si>
  <si>
    <t>Andros</t>
  </si>
  <si>
    <t>Mezinka</t>
  </si>
  <si>
    <t>Czechia</t>
  </si>
  <si>
    <t>Spice in Yuh Life</t>
  </si>
  <si>
    <t>Barossa</t>
  </si>
  <si>
    <t>Bouquet Booth</t>
  </si>
  <si>
    <t>Brooklyn Diamonds</t>
  </si>
  <si>
    <t>Delightful Mary</t>
  </si>
  <si>
    <t>Mauritius</t>
  </si>
  <si>
    <t>Special Still</t>
  </si>
  <si>
    <t>Kerouac</t>
  </si>
  <si>
    <t>Walk Close</t>
  </si>
  <si>
    <t>Doppelganger</t>
  </si>
  <si>
    <t>Twice the Lady</t>
  </si>
  <si>
    <t>Blackadder</t>
  </si>
  <si>
    <t>Chapel</t>
  </si>
  <si>
    <t>Anaheim</t>
  </si>
  <si>
    <t>My Own Story</t>
  </si>
  <si>
    <t>Pretty Milanova</t>
  </si>
  <si>
    <t>Lady Arsinoe</t>
  </si>
  <si>
    <t>Koodori Dawn</t>
  </si>
  <si>
    <t>Winterwood</t>
  </si>
  <si>
    <t>War Relic</t>
  </si>
  <si>
    <t>Chopin Drive</t>
  </si>
  <si>
    <t>Leopardi</t>
  </si>
  <si>
    <t>Rich's Way</t>
  </si>
  <si>
    <t>Halo Humor</t>
  </si>
  <si>
    <t>Dominican Pioneer</t>
  </si>
  <si>
    <t>Frosted Armour</t>
  </si>
  <si>
    <t>Pioneer Bob</t>
  </si>
  <si>
    <t>Whenthedawnbreaks</t>
  </si>
  <si>
    <t>Awesome Bid</t>
  </si>
  <si>
    <t>Pinehurst</t>
  </si>
  <si>
    <t>Giant Win</t>
  </si>
  <si>
    <t>Chancellery (IRE)</t>
  </si>
  <si>
    <t>Shahama</t>
  </si>
  <si>
    <t>Two for One</t>
  </si>
  <si>
    <t>Destiny's Dream</t>
  </si>
  <si>
    <t>Anthracite</t>
  </si>
  <si>
    <t>Portsmouth</t>
  </si>
  <si>
    <t>Unique Ride</t>
  </si>
  <si>
    <t>Bode Lynx</t>
  </si>
  <si>
    <t>Fast and Flirty</t>
  </si>
  <si>
    <t>Edye's Candy</t>
  </si>
  <si>
    <t>Proton Pack</t>
  </si>
  <si>
    <t>McLaren Vale</t>
  </si>
  <si>
    <t>Magical Weekend</t>
  </si>
  <si>
    <t>Captaire</t>
  </si>
  <si>
    <t>Arika</t>
  </si>
  <si>
    <t>Missoni</t>
  </si>
  <si>
    <t>Fling</t>
  </si>
  <si>
    <t>Boone's Path</t>
  </si>
  <si>
    <t>Armagnac</t>
  </si>
  <si>
    <t>Kitty Wine</t>
  </si>
  <si>
    <t>Von Trapp</t>
  </si>
  <si>
    <t>Marypop (FR)</t>
  </si>
  <si>
    <t>Pressure</t>
  </si>
  <si>
    <t>Requestforproposal</t>
  </si>
  <si>
    <t>Glamorous Days</t>
  </si>
  <si>
    <t>Chanceux</t>
  </si>
  <si>
    <t>La Meca</t>
  </si>
  <si>
    <t>Oche Dart</t>
  </si>
  <si>
    <t>Forgotten Magic</t>
  </si>
  <si>
    <t>Firsttimeinforever</t>
  </si>
  <si>
    <t>Miss Freeze</t>
  </si>
  <si>
    <t>My Sweet Summer</t>
  </si>
  <si>
    <t>Gold N Shaft</t>
  </si>
  <si>
    <t>Carmel Road</t>
  </si>
  <si>
    <t>Inspired</t>
  </si>
  <si>
    <t>Jackstown</t>
  </si>
  <si>
    <t>No Name Needed</t>
  </si>
  <si>
    <t>Rapacious</t>
  </si>
  <si>
    <t>Princess La Quinta</t>
  </si>
  <si>
    <t>Alta</t>
  </si>
  <si>
    <t>Wait No More</t>
  </si>
  <si>
    <t>Dromoland</t>
  </si>
  <si>
    <t>El Contador</t>
  </si>
  <si>
    <t>Leftembehind</t>
  </si>
  <si>
    <t>Late 'n Left</t>
  </si>
  <si>
    <t>Fort Warren</t>
  </si>
  <si>
    <t>La Appassionata</t>
  </si>
  <si>
    <t>Alice Kramden</t>
  </si>
  <si>
    <t>Ghent Road</t>
  </si>
  <si>
    <t>Blocks of Magic</t>
  </si>
  <si>
    <t>Passingthemistery</t>
  </si>
  <si>
    <t>Newgate</t>
  </si>
  <si>
    <t>Majestic Presence</t>
  </si>
  <si>
    <t>Dillinger</t>
  </si>
  <si>
    <t>Figarella's Queen</t>
  </si>
  <si>
    <t>Wand</t>
  </si>
  <si>
    <t>Angelo's Ashes</t>
  </si>
  <si>
    <t>Sign of Beauty</t>
  </si>
  <si>
    <t>Fort Bragg</t>
  </si>
  <si>
    <t>Jasper Royal</t>
  </si>
  <si>
    <t>Yangarra</t>
  </si>
  <si>
    <t>Sunset Starlet</t>
  </si>
  <si>
    <t>Our Rock Star</t>
  </si>
  <si>
    <t>Beauty Destiny</t>
  </si>
  <si>
    <t>Metmeyer</t>
  </si>
  <si>
    <t>Power of Nature</t>
  </si>
  <si>
    <t>Terrier</t>
  </si>
  <si>
    <t>Night Time Lady</t>
  </si>
  <si>
    <t>Blessed Angel</t>
  </si>
  <si>
    <t>Real Sister</t>
  </si>
  <si>
    <t>Brenda</t>
  </si>
  <si>
    <t>Wednesday Friday</t>
  </si>
  <si>
    <t>Bold Exaggeration</t>
  </si>
  <si>
    <t>Assemble</t>
  </si>
  <si>
    <t>Admiral Curl</t>
  </si>
  <si>
    <t>Forty Winks</t>
  </si>
  <si>
    <t>Uncle Jake</t>
  </si>
  <si>
    <t>Tasha's Miracle</t>
  </si>
  <si>
    <t>Machu Picchu</t>
  </si>
  <si>
    <t>Peja Du</t>
  </si>
  <si>
    <t>First to Last</t>
  </si>
  <si>
    <t>High Class</t>
  </si>
  <si>
    <t>Along Came Kelly</t>
  </si>
  <si>
    <t>Kelly's Humor</t>
  </si>
  <si>
    <t>Vogelsang</t>
  </si>
  <si>
    <t>Worcester</t>
  </si>
  <si>
    <t>Lil Super Bear</t>
  </si>
  <si>
    <t>Wickline</t>
  </si>
  <si>
    <t>Mercurial</t>
  </si>
  <si>
    <t>Clooney</t>
  </si>
  <si>
    <t>Azure Spring</t>
  </si>
  <si>
    <t>Always a Joker</t>
  </si>
  <si>
    <t>Cavendish</t>
  </si>
  <si>
    <t>Bennett Jean</t>
  </si>
  <si>
    <t>Coach Arre</t>
  </si>
  <si>
    <t>Manciata d'Oro</t>
  </si>
  <si>
    <t>Hellier</t>
  </si>
  <si>
    <t>Quincy Market</t>
  </si>
  <si>
    <t>Cotton Blossom</t>
  </si>
  <si>
    <t>Reincarnate</t>
  </si>
  <si>
    <t>Allanah</t>
  </si>
  <si>
    <t>Castle Island</t>
  </si>
  <si>
    <t>Liszy's Union</t>
  </si>
  <si>
    <t>Idealist</t>
  </si>
  <si>
    <t>European Union</t>
  </si>
  <si>
    <t>Grand Oak (IRE)</t>
  </si>
  <si>
    <t>Argentina Cries (IRE)</t>
  </si>
  <si>
    <t>Souffle</t>
  </si>
  <si>
    <t>Portmagee</t>
  </si>
  <si>
    <t>Domerelle</t>
  </si>
  <si>
    <t>Torreadora</t>
  </si>
  <si>
    <t>Rozam</t>
  </si>
  <si>
    <t>Queen of Sparta</t>
  </si>
  <si>
    <t>Magic Hooh</t>
  </si>
  <si>
    <t>Bank Buster</t>
  </si>
  <si>
    <t>Lookin At Maggie</t>
  </si>
  <si>
    <t>Delusively</t>
  </si>
  <si>
    <t>Nicksappealinglady</t>
  </si>
  <si>
    <t>Dreaming of Smarty</t>
  </si>
  <si>
    <t>Recon</t>
  </si>
  <si>
    <t>Mr. Pesce</t>
  </si>
  <si>
    <t>Dixieland Dudes</t>
  </si>
  <si>
    <t>Lazer Beam</t>
  </si>
  <si>
    <t>Applauding</t>
  </si>
  <si>
    <t>Nielson</t>
  </si>
  <si>
    <t>My Wandy's Girl</t>
  </si>
  <si>
    <t>Wave After Wave</t>
  </si>
  <si>
    <t>Sister's Duty</t>
  </si>
  <si>
    <t>Atilano</t>
  </si>
  <si>
    <t>Poet's Woods</t>
  </si>
  <si>
    <t>Matanzas Creek</t>
  </si>
  <si>
    <t>Cuvee Uncorked</t>
  </si>
  <si>
    <t>Cairo Sugar</t>
  </si>
  <si>
    <t>Spun Sugar</t>
  </si>
  <si>
    <t>Gilmore</t>
  </si>
  <si>
    <t>My Surfer Girl</t>
  </si>
  <si>
    <t>Mystic Pleasure</t>
  </si>
  <si>
    <t>Halucinogenie</t>
  </si>
  <si>
    <t>True to Form</t>
  </si>
  <si>
    <t>Confabulation</t>
  </si>
  <si>
    <t>Heart Stealer</t>
  </si>
  <si>
    <t>Devilment</t>
  </si>
  <si>
    <t>Soot Z</t>
  </si>
  <si>
    <t>Genius Kitten (IRE)</t>
  </si>
  <si>
    <t>Tirico</t>
  </si>
  <si>
    <t>Special One</t>
  </si>
  <si>
    <t>My Lady Luna</t>
  </si>
  <si>
    <t>Nullarbor</t>
  </si>
  <si>
    <t>Katherine</t>
  </si>
  <si>
    <t>Vegas Magic</t>
  </si>
  <si>
    <t>Heidi Maria</t>
  </si>
  <si>
    <t>Daylight Queen</t>
  </si>
  <si>
    <t>Feral Wonder (IRE)</t>
  </si>
  <si>
    <t>Normandy Landing</t>
  </si>
  <si>
    <t>Perfect Flute</t>
  </si>
  <si>
    <t>Mirahmadi</t>
  </si>
  <si>
    <t>More Chocolate</t>
  </si>
  <si>
    <t>Sea Dancer</t>
  </si>
  <si>
    <t>Cuyathy</t>
  </si>
  <si>
    <t>Rothschild</t>
  </si>
  <si>
    <t>Still There</t>
  </si>
  <si>
    <t>Wrightsville</t>
  </si>
  <si>
    <t>Seahawk Girl</t>
  </si>
  <si>
    <t>Under Promise</t>
  </si>
  <si>
    <t>Hidden Class</t>
  </si>
  <si>
    <t>Noblame</t>
  </si>
  <si>
    <t>Lady Madonna</t>
  </si>
  <si>
    <t>Golden Rookie</t>
  </si>
  <si>
    <t>Play the Trumpet</t>
  </si>
  <si>
    <t>Shiny Lure</t>
  </si>
  <si>
    <t>Starfall</t>
  </si>
  <si>
    <t>Point Dume</t>
  </si>
  <si>
    <t>Maya Malibu</t>
  </si>
  <si>
    <t>Glasgow</t>
  </si>
  <si>
    <t>Wile Cat</t>
  </si>
  <si>
    <t>Dothraki</t>
  </si>
  <si>
    <t>Vanquished</t>
  </si>
  <si>
    <t>Happy</t>
  </si>
  <si>
    <t>Roundtop</t>
  </si>
  <si>
    <t>Bourbonesque</t>
  </si>
  <si>
    <t>Dr. Fuqua</t>
  </si>
  <si>
    <t>Il Siciliano</t>
  </si>
  <si>
    <t>Unwavering Joy</t>
  </si>
  <si>
    <t>Northern Chill</t>
  </si>
  <si>
    <t>Fire in My Sul</t>
  </si>
  <si>
    <t>Edgartown</t>
  </si>
  <si>
    <t>Utopian</t>
  </si>
  <si>
    <t>Magical Ride</t>
  </si>
  <si>
    <t>Westeros</t>
  </si>
  <si>
    <t>Fairyland</t>
  </si>
  <si>
    <t>Earned Dividend</t>
  </si>
  <si>
    <t>Comic Marvel</t>
  </si>
  <si>
    <t>Middleburg</t>
  </si>
  <si>
    <t>Selcourt</t>
  </si>
  <si>
    <t>New King</t>
  </si>
  <si>
    <t>Hollywood Royal</t>
  </si>
  <si>
    <t>Imagination</t>
  </si>
  <si>
    <t>Magical Feeling</t>
  </si>
  <si>
    <t>Rose Bay</t>
  </si>
  <si>
    <t>Secret Society</t>
  </si>
  <si>
    <t>Secret Ballot</t>
  </si>
  <si>
    <t>Jazz Scat</t>
  </si>
  <si>
    <t>Colorado Cruiser</t>
  </si>
  <si>
    <t>Baby Nina</t>
  </si>
  <si>
    <t>Cruising</t>
  </si>
  <si>
    <t>Miss Mutz</t>
  </si>
  <si>
    <t>Salted Carmel</t>
  </si>
  <si>
    <t>Sailonsilvergirl</t>
  </si>
  <si>
    <t>Society Man</t>
  </si>
  <si>
    <t>Sa Sa Sa</t>
  </si>
  <si>
    <t>Tapitoro</t>
  </si>
  <si>
    <t>Mischieving</t>
  </si>
  <si>
    <t>Hooh Her</t>
  </si>
  <si>
    <t>Guarani</t>
  </si>
  <si>
    <t>Dragonstone</t>
  </si>
  <si>
    <t>Lucy in Diamonds</t>
  </si>
  <si>
    <t>Commander of Truth</t>
  </si>
  <si>
    <t>Winterfell</t>
  </si>
  <si>
    <t>Forest Fashion</t>
  </si>
  <si>
    <t>Win for Speight</t>
  </si>
  <si>
    <t>A Must See</t>
  </si>
  <si>
    <t>Bruckner</t>
  </si>
  <si>
    <t>Jessica Krupnick</t>
  </si>
  <si>
    <t>Gita's Miracle</t>
  </si>
  <si>
    <t>Celtic Elegance</t>
  </si>
  <si>
    <t>Summertown</t>
  </si>
  <si>
    <t>Gerwig</t>
  </si>
  <si>
    <t>Navajo Warrior</t>
  </si>
  <si>
    <t>Crosswinds</t>
  </si>
  <si>
    <t>Exit to the Moon</t>
  </si>
  <si>
    <t>Lake Superior</t>
  </si>
  <si>
    <t>Celibataire</t>
  </si>
  <si>
    <t>Cornell</t>
  </si>
  <si>
    <t>Banree</t>
  </si>
  <si>
    <t>Julysaturdaynight</t>
  </si>
  <si>
    <t>Le Mans</t>
  </si>
  <si>
    <t>My Peg</t>
  </si>
  <si>
    <t>Two Lucys</t>
  </si>
  <si>
    <t>She's Wicked Smart</t>
  </si>
  <si>
    <t>Mission Beach</t>
  </si>
  <si>
    <t>Stoweshoe</t>
  </si>
  <si>
    <t>Somethinabouther</t>
  </si>
  <si>
    <t>Phantom Proton</t>
  </si>
  <si>
    <t>Lannister</t>
  </si>
  <si>
    <t>Wexx</t>
  </si>
  <si>
    <t>Beautiful Crazy</t>
  </si>
  <si>
    <t>Fox Green</t>
  </si>
  <si>
    <t>Eight Seven Magic</t>
  </si>
  <si>
    <t>Forward Deployed</t>
  </si>
  <si>
    <t>Flyin Ryan</t>
  </si>
  <si>
    <t>True Passion</t>
  </si>
  <si>
    <t>I Got Game</t>
  </si>
  <si>
    <t>Musical</t>
  </si>
  <si>
    <t>Melody</t>
  </si>
  <si>
    <t>Thankfully</t>
  </si>
  <si>
    <t>Privman</t>
  </si>
  <si>
    <t>Mo Knows</t>
  </si>
  <si>
    <t>Lady Holiday</t>
  </si>
  <si>
    <t>Bonne Vie</t>
  </si>
  <si>
    <t>Honor the Giants</t>
  </si>
  <si>
    <t>Calamity Jane</t>
  </si>
  <si>
    <t>Les Is Best</t>
  </si>
  <si>
    <t>Bossy Dish</t>
  </si>
  <si>
    <t>Walker's Prayer</t>
  </si>
  <si>
    <t>Madaket Road</t>
  </si>
  <si>
    <t>Low Key in Love</t>
  </si>
  <si>
    <t>Cuban Cowboy</t>
  </si>
  <si>
    <t>Bold Vision</t>
  </si>
  <si>
    <t>Golden Domer</t>
  </si>
  <si>
    <t>Citizen Bull</t>
  </si>
  <si>
    <t>No Joke</t>
  </si>
  <si>
    <t>Probale Ten</t>
  </si>
  <si>
    <t>Don Vito</t>
  </si>
  <si>
    <t>Late Night Pow Wow</t>
  </si>
  <si>
    <t>Fling Ready</t>
  </si>
  <si>
    <t>Romanesque</t>
  </si>
  <si>
    <t>Mony'slittlegracie</t>
  </si>
  <si>
    <t>Accelerate Crown</t>
  </si>
  <si>
    <t>American Women</t>
  </si>
  <si>
    <t>Smartly Agree</t>
  </si>
  <si>
    <t>Magical Moonlight</t>
  </si>
  <si>
    <t>Highgarden</t>
  </si>
  <si>
    <t>Ghostrick</t>
  </si>
  <si>
    <t>Starry Night</t>
  </si>
  <si>
    <t>Kalea Bay</t>
  </si>
  <si>
    <t>For Royalty</t>
  </si>
  <si>
    <t>Cornucopian</t>
  </si>
  <si>
    <t>Magical World</t>
  </si>
  <si>
    <t>King's Road</t>
  </si>
  <si>
    <t>Daisy Miller (GB)</t>
  </si>
  <si>
    <t>San Lino</t>
  </si>
  <si>
    <t>Getaway Car</t>
  </si>
  <si>
    <t>Surrender Now</t>
  </si>
  <si>
    <t>Copenhagen</t>
  </si>
  <si>
    <t>Live for Now</t>
  </si>
  <si>
    <t>Jute Box</t>
  </si>
  <si>
    <t>Justin Praha</t>
  </si>
  <si>
    <t>Smudge</t>
  </si>
  <si>
    <t>Dragon Devil</t>
  </si>
  <si>
    <t>Into My Sunset</t>
  </si>
  <si>
    <t>Casterly Rock</t>
  </si>
  <si>
    <t>Firsttime Longtime</t>
  </si>
  <si>
    <t>Dettori</t>
  </si>
  <si>
    <t>Hit It Rich</t>
  </si>
  <si>
    <t>Nelson Gate</t>
  </si>
  <si>
    <t>Buzz Rocket</t>
  </si>
  <si>
    <t>Sheila's Lion</t>
  </si>
  <si>
    <t>Goal Oriented</t>
  </si>
  <si>
    <t>Bizzy Caroline</t>
  </si>
  <si>
    <t>Dewolf</t>
  </si>
  <si>
    <t>Holy Cargo</t>
  </si>
  <si>
    <t>Mellencamp</t>
  </si>
  <si>
    <t>American Model</t>
  </si>
  <si>
    <t>Conquering Cat</t>
  </si>
  <si>
    <t>Lionel</t>
  </si>
  <si>
    <t>Sweetgrass</t>
  </si>
  <si>
    <t>Rodriguez</t>
  </si>
  <si>
    <t>Cayala</t>
  </si>
  <si>
    <t>Skynet</t>
  </si>
  <si>
    <t>Move It Mary</t>
  </si>
  <si>
    <t>Annihilate 'Em</t>
  </si>
  <si>
    <t>Mont Saint Michel (FR)</t>
  </si>
  <si>
    <t>Opera de Ravel (FR)</t>
  </si>
  <si>
    <t>Bonaparte</t>
  </si>
  <si>
    <t>Rich Love</t>
  </si>
  <si>
    <t>McGregor</t>
  </si>
  <si>
    <t>Take Charge Angel</t>
  </si>
  <si>
    <t>Stellenbosch</t>
  </si>
  <si>
    <t>Verve's Tale</t>
  </si>
  <si>
    <t>Kelce</t>
  </si>
  <si>
    <t>Vertical Oak</t>
  </si>
  <si>
    <t>Kristofferson</t>
  </si>
  <si>
    <t>Impasse</t>
  </si>
  <si>
    <t>Memory</t>
  </si>
  <si>
    <t>Sundaysatthebeach</t>
  </si>
  <si>
    <t>Litmus Test</t>
  </si>
  <si>
    <t>Study Hard</t>
  </si>
  <si>
    <t>Aficionado</t>
  </si>
  <si>
    <t>Classy Citizen</t>
  </si>
  <si>
    <t>Balboa</t>
  </si>
  <si>
    <t>Tap of War</t>
  </si>
  <si>
    <t>Chinese Wall (IRE)</t>
  </si>
  <si>
    <t>Ganar El Cielo (GB)</t>
  </si>
  <si>
    <t>Dawn Eclipse (IRE)</t>
  </si>
  <si>
    <t>Prima (GB)</t>
  </si>
  <si>
    <t>Effie (GB)</t>
  </si>
  <si>
    <t>Llia (GB)</t>
  </si>
  <si>
    <t>Eliza Acton (GB)</t>
  </si>
  <si>
    <t>Sing Softly (GB)</t>
  </si>
  <si>
    <t>Fontiton (AUS)</t>
  </si>
  <si>
    <t>Personal Ensign (AUS)</t>
  </si>
  <si>
    <t>Great Ocean Road</t>
  </si>
  <si>
    <t>Sustainable</t>
  </si>
  <si>
    <t>Greece</t>
  </si>
  <si>
    <t>Brinkley</t>
  </si>
  <si>
    <t>Greenwich Village</t>
  </si>
  <si>
    <t>Houtzen (AUS)</t>
  </si>
  <si>
    <t>Hidden Wonder (AUS)</t>
  </si>
  <si>
    <t>Princess Shorna (AUS)</t>
  </si>
  <si>
    <t>Koa's Choice (AUS)</t>
  </si>
  <si>
    <t>Choice Snitzel (AUS)</t>
  </si>
  <si>
    <t>Lady Charade</t>
  </si>
  <si>
    <t>Lady Vixen</t>
  </si>
  <si>
    <t>Magical Hawk</t>
  </si>
  <si>
    <t>Sum</t>
  </si>
  <si>
    <t>Mount Fuji</t>
  </si>
  <si>
    <t>Tara's Tango</t>
  </si>
  <si>
    <t>Nicky's Brown Miss</t>
  </si>
  <si>
    <t>Pane In The Glass (AUS)</t>
  </si>
  <si>
    <t>Lyrics (AUS)</t>
  </si>
  <si>
    <t>Private Ambitions (NZ)</t>
  </si>
  <si>
    <t>Mantles Princess (GB)</t>
  </si>
  <si>
    <t>Queen Bodicea (IRE)</t>
  </si>
  <si>
    <t>Brazilia (GB)</t>
  </si>
  <si>
    <t>Response (AUS)</t>
  </si>
  <si>
    <t>Live It Up</t>
  </si>
  <si>
    <t>Salentein</t>
  </si>
  <si>
    <t>Saratogian</t>
  </si>
  <si>
    <t>Saltendipity</t>
  </si>
  <si>
    <t>Sir Davis</t>
  </si>
  <si>
    <t>Lovely Syn</t>
  </si>
  <si>
    <t>Speedy Politi</t>
  </si>
  <si>
    <t>Featherspun</t>
  </si>
  <si>
    <t>St Petersburg</t>
  </si>
  <si>
    <t>Catherinethegreat</t>
  </si>
  <si>
    <t>Steel Taipan</t>
  </si>
  <si>
    <t>Sky Glow</t>
  </si>
  <si>
    <t>Submariner</t>
  </si>
  <si>
    <t>Lookin Sharp</t>
  </si>
  <si>
    <t>Truth Beauty (IRE)</t>
  </si>
  <si>
    <t>Grecian Slipper (GB)</t>
  </si>
  <si>
    <t>UNNAMED</t>
  </si>
  <si>
    <t>Hurley</t>
  </si>
  <si>
    <t>Kram</t>
  </si>
  <si>
    <t>Starship Bonita</t>
  </si>
  <si>
    <t>That's a Lady</t>
  </si>
  <si>
    <t>Secret Jewel</t>
  </si>
  <si>
    <t>Believe in Charlie</t>
  </si>
  <si>
    <t>Oola Gal</t>
  </si>
  <si>
    <t>Italia</t>
  </si>
  <si>
    <t>L' Age d'Or</t>
  </si>
  <si>
    <t>Royale Paradise</t>
  </si>
  <si>
    <t>Voldemort</t>
  </si>
  <si>
    <t>Beauty Buzz</t>
  </si>
  <si>
    <t>Wahlberg</t>
  </si>
  <si>
    <t>Proud Dame</t>
  </si>
  <si>
    <t>Wave's Edge</t>
  </si>
  <si>
    <t>Choice Pearl</t>
  </si>
  <si>
    <t>We're Still Here</t>
  </si>
  <si>
    <t>Beau Watch</t>
  </si>
  <si>
    <t>Wharton</t>
  </si>
  <si>
    <t>Wolfpack</t>
  </si>
  <si>
    <t>Inny Minnie</t>
  </si>
  <si>
    <t>Maintenance cost per month</t>
  </si>
  <si>
    <t>Maintenance cost per year</t>
  </si>
  <si>
    <t>Maintenance cost</t>
  </si>
  <si>
    <t>Accounting profit</t>
  </si>
  <si>
    <t xml:space="preserve">Total purchases accounting profit </t>
  </si>
  <si>
    <t>Purchases accounting profit by type</t>
  </si>
  <si>
    <t>Broodmare / Racing prospect</t>
  </si>
  <si>
    <t>#Horses</t>
  </si>
  <si>
    <t>Purchased before year:</t>
  </si>
  <si>
    <t>studFeeEarned</t>
  </si>
  <si>
    <t>Benefit as racer/at auctions</t>
  </si>
  <si>
    <t>Horses bought for racing</t>
  </si>
  <si>
    <t>Generation</t>
  </si>
  <si>
    <t># Horses Kept 
to 2yo+</t>
  </si>
  <si>
    <t># Horses Kept 
to 3yo+</t>
  </si>
  <si>
    <t># Horses Kept 
to 4yo+</t>
  </si>
  <si>
    <t>Total Net
Auction price</t>
  </si>
  <si>
    <t>Total Racing
earnings (in US)</t>
  </si>
  <si>
    <t>Had Earnings 
(won any purse in US)</t>
  </si>
  <si>
    <t>Services
Provided</t>
  </si>
  <si>
    <t>Kept 
as Dam</t>
  </si>
  <si>
    <t>Offspring 
Produced</t>
  </si>
  <si>
    <t>Cost of 
Services</t>
  </si>
  <si>
    <t>Type</t>
  </si>
  <si>
    <t>Avg Time 
Kept (Y)</t>
  </si>
  <si>
    <t xml:space="preserve">Maintenance cost </t>
  </si>
  <si>
    <t>Maintenance cost (offspring)</t>
  </si>
  <si>
    <t>Horse Profit 
(Racing + Auction - Maintenance)</t>
  </si>
  <si>
    <t>Offs Benefit (Racing + Auction)</t>
  </si>
  <si>
    <t>Avg Time 
Kept Offs (Y)</t>
  </si>
  <si>
    <t>Total horse profit (Horse Profit + Offs Profit - Cost of service)</t>
  </si>
  <si>
    <t># Horses 
Bought</t>
  </si>
  <si>
    <t># Horses 
Sold</t>
  </si>
  <si>
    <t>type</t>
  </si>
  <si>
    <t>racedInRaces1</t>
  </si>
  <si>
    <t>racedInRaces2</t>
  </si>
  <si>
    <t>racedInRaces3</t>
  </si>
  <si>
    <t>racedInRaces4</t>
  </si>
  <si>
    <t>racedInRaces5</t>
  </si>
  <si>
    <t>racedInRaces6</t>
  </si>
  <si>
    <t>racedInRaces7</t>
  </si>
  <si>
    <t>racedInRaces8</t>
  </si>
  <si>
    <t>racedInRaces9</t>
  </si>
  <si>
    <t>racedInRaces10</t>
  </si>
  <si>
    <t>racedInRaces11</t>
  </si>
  <si>
    <t>racedInRaces12</t>
  </si>
  <si>
    <t>earningsInRaces1</t>
  </si>
  <si>
    <t>earningsInRaces2</t>
  </si>
  <si>
    <t>earningsInRaces3</t>
  </si>
  <si>
    <t>earningsInRaces4</t>
  </si>
  <si>
    <t>earningsInRaces5</t>
  </si>
  <si>
    <t>earningsInRaces6</t>
  </si>
  <si>
    <t>earningsInRaces7</t>
  </si>
  <si>
    <t>earningsInRaces8</t>
  </si>
  <si>
    <t>earningsInRaces9</t>
  </si>
  <si>
    <t>earningsInRaces10</t>
  </si>
  <si>
    <t>earningsInRaces11</t>
  </si>
  <si>
    <t>earningsInRaces12</t>
  </si>
  <si>
    <t>soldInAuction1</t>
  </si>
  <si>
    <t>soldInAuction2</t>
  </si>
  <si>
    <t>soldInAuction3</t>
  </si>
  <si>
    <t>soldInAuction4</t>
  </si>
  <si>
    <t>soldInAuction5</t>
  </si>
  <si>
    <t>soldInAuction6</t>
  </si>
  <si>
    <t>soldInAuction7</t>
  </si>
  <si>
    <t>soldInAuction8</t>
  </si>
  <si>
    <t>soldInAuction9</t>
  </si>
  <si>
    <t>soldInAuction10</t>
  </si>
  <si>
    <t>soldInAuction11</t>
  </si>
  <si>
    <t>soldInAuction12</t>
  </si>
  <si>
    <t>auctionPrice1</t>
  </si>
  <si>
    <t>auctionPrice2</t>
  </si>
  <si>
    <t>auctionPrice3</t>
  </si>
  <si>
    <t>auctionPrice4</t>
  </si>
  <si>
    <t>auctionPrice5</t>
  </si>
  <si>
    <t>auctionPrice6</t>
  </si>
  <si>
    <t>auctionPrice7</t>
  </si>
  <si>
    <t>auctionPrice8</t>
  </si>
  <si>
    <t>auctionPrice9</t>
  </si>
  <si>
    <t>auctionPrice10</t>
  </si>
  <si>
    <t>auctionPrice11</t>
  </si>
  <si>
    <t>auctionPrice12</t>
  </si>
  <si>
    <t>successfulService1</t>
  </si>
  <si>
    <t>successfulService2</t>
  </si>
  <si>
    <t>successfulService3</t>
  </si>
  <si>
    <t>successfulService4</t>
  </si>
  <si>
    <t>successfulService5</t>
  </si>
  <si>
    <t>successfulService6</t>
  </si>
  <si>
    <t>successfulService7</t>
  </si>
  <si>
    <t>successfulService8</t>
  </si>
  <si>
    <t>successfulService9</t>
  </si>
  <si>
    <t>successfulService10</t>
  </si>
  <si>
    <t>successfulService11</t>
  </si>
  <si>
    <t>successfulService12</t>
  </si>
  <si>
    <t>foreignHorse1</t>
  </si>
  <si>
    <t>foreignHorse2</t>
  </si>
  <si>
    <t>foreignHorse3</t>
  </si>
  <si>
    <t>foreignHorse4</t>
  </si>
  <si>
    <t>foreignHorse5</t>
  </si>
  <si>
    <t>foreignHorse6</t>
  </si>
  <si>
    <t>foreignHorse7</t>
  </si>
  <si>
    <t>foreignHorse8</t>
  </si>
  <si>
    <t>foreignHorse9</t>
  </si>
  <si>
    <t>foreignHorse10</t>
  </si>
  <si>
    <t>foreignHorse11</t>
  </si>
  <si>
    <t>foreignHorse12</t>
  </si>
  <si>
    <t>studFeeUSD1</t>
  </si>
  <si>
    <t>studFeeUSD2</t>
  </si>
  <si>
    <t>studFeeUSD3</t>
  </si>
  <si>
    <t>studFeeUSD4</t>
  </si>
  <si>
    <t>studFeeUSD5</t>
  </si>
  <si>
    <t>studFeeUSD6</t>
  </si>
  <si>
    <t>studFeeUSD7</t>
  </si>
  <si>
    <t>studFeeUSD8</t>
  </si>
  <si>
    <t>studFeeUSD9</t>
  </si>
  <si>
    <t>studFeeUSD10</t>
  </si>
  <si>
    <t>studFeeUSD11</t>
  </si>
  <si>
    <t>studFeeUSD12</t>
  </si>
  <si>
    <t>mSeason1</t>
  </si>
  <si>
    <t>mSeason2</t>
  </si>
  <si>
    <t>mSeason3</t>
  </si>
  <si>
    <t>mSeason4</t>
  </si>
  <si>
    <t>mSeason5</t>
  </si>
  <si>
    <t>mSeason6</t>
  </si>
  <si>
    <t>mSeason7</t>
  </si>
  <si>
    <t>mSeason8</t>
  </si>
  <si>
    <t>mSeason9</t>
  </si>
  <si>
    <t>mSeason10</t>
  </si>
  <si>
    <t>mSeason11</t>
  </si>
  <si>
    <t>mSeason12</t>
  </si>
  <si>
    <t>income1</t>
  </si>
  <si>
    <t>income2</t>
  </si>
  <si>
    <t>income3</t>
  </si>
  <si>
    <t>income4</t>
  </si>
  <si>
    <t>income5</t>
  </si>
  <si>
    <t>income6</t>
  </si>
  <si>
    <t>income7</t>
  </si>
  <si>
    <t>income8</t>
  </si>
  <si>
    <t>income9</t>
  </si>
  <si>
    <t>income10</t>
  </si>
  <si>
    <t>income11</t>
  </si>
  <si>
    <t>income12</t>
  </si>
  <si>
    <t># Offspring sold 
at auction</t>
  </si>
  <si>
    <t># Foreign 
offspring</t>
  </si>
  <si>
    <t># Offspring 
produced</t>
  </si>
  <si>
    <t># Services 
provided</t>
  </si>
  <si>
    <t>First birth 
with SF</t>
  </si>
  <si>
    <t>First season 
with SF</t>
  </si>
  <si>
    <t>Total earnings</t>
  </si>
  <si>
    <t>Total auction value</t>
  </si>
  <si>
    <t>Total 
Stud Fee</t>
  </si>
  <si>
    <t>Offsprings</t>
  </si>
  <si>
    <t>Net auction value</t>
  </si>
  <si>
    <t>Dam</t>
  </si>
  <si>
    <t>priceBought</t>
  </si>
  <si>
    <t>priceSold</t>
  </si>
  <si>
    <t>Price 
Bought</t>
  </si>
  <si>
    <t>Price 
Sold</t>
  </si>
  <si>
    <t>Race 
earnings</t>
  </si>
  <si>
    <t>Last Season
with SF</t>
  </si>
  <si>
    <t>Total 
profit (Income - cost)</t>
  </si>
  <si>
    <t>Total 
income (Earnings + value - stud fee)</t>
  </si>
  <si>
    <t>Offsprings Income (race earnings + auction value - stud fee) by season</t>
  </si>
  <si>
    <t>Total Income 
(Race + Price 
sold + Offs - maintenance cost)</t>
  </si>
  <si>
    <t>Return on Investment
(Total Income - Price bought / Price bought)</t>
  </si>
  <si>
    <t>Average ROI</t>
  </si>
  <si>
    <t># Dams</t>
  </si>
  <si>
    <t>Services provided
with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</si>
</sst>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0" fillId="2" borderId="0" xfId="0" applyFill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159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center" textRotation="0" indent="0" justifyLastLine="0" shrinkToFit="0" readingOrder="0"/>
    </dxf>
    <dxf>
      <numFmt numFmtId="13" formatCode="0%"/>
      <alignment horizontal="center" vertical="center" textRotation="0" indent="0" justifyLastLine="0" shrinkToFit="0" readingOrder="0"/>
    </dxf>
    <dxf>
      <numFmt numFmtId="1" formatCode="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alignment horizontal="center" vertical="center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0" formatCode="d\-mmm\-yy"/>
      <alignment horizontal="center" vertical="center" textRotation="0" wrapText="0" indent="0" justifyLastLine="0" shrinkToFit="0" readingOrder="0"/>
    </dxf>
    <dxf>
      <numFmt numFmtId="20" formatCode="d\-mmm\-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B5FF19-CA9D-484A-9043-66CAFC2A8A2B}" name="Table1" displayName="Table1" ref="A1:AA970" totalsRowShown="0" headerRowDxfId="158">
  <autoFilter ref="A1:AA970" xr:uid="{00000000-0001-0000-0000-000000000000}"/>
  <sortState xmlns:xlrd2="http://schemas.microsoft.com/office/spreadsheetml/2017/richdata2" ref="A2:AA969">
    <sortCondition ref="H1:H970"/>
  </sortState>
  <tableColumns count="27">
    <tableColumn id="1" xr3:uid="{0EC906C4-B17F-4CA3-A117-4555858D3F16}" name="id" dataDxfId="157"/>
    <tableColumn id="2" xr3:uid="{FE23DC82-D181-4AA5-BAA4-D0BF779963FA}" name="name" dataDxfId="156"/>
    <tableColumn id="3" xr3:uid="{A0FB06C5-7C74-4670-AB0F-F95DCC2D0895}" name="dam" dataDxfId="155"/>
    <tableColumn id="4" xr3:uid="{22BE828F-F0F6-415F-9B31-FF73F0B56FF3}" name="damId" dataDxfId="154"/>
    <tableColumn id="5" xr3:uid="{91473714-EA17-4CDA-A127-EB43E9DED998}" name="purseWon" dataDxfId="153"/>
    <tableColumn id="6" xr3:uid="{FC1D54E3-40B4-4840-9B74-54BBF8E05D25}" name="typeBought" dataDxfId="152"/>
    <tableColumn id="7" xr3:uid="{FBFA96C6-7F69-4DDA-B4EC-5BD110657F0B}" name="typeSold" dataDxfId="151"/>
    <tableColumn id="8" xr3:uid="{3295DC0B-B377-4A18-A0A8-77C4F5D42A74}" name="birth" dataDxfId="150"/>
    <tableColumn id="9" xr3:uid="{97299280-B426-4BCE-9565-685DC70CDD23}" name="dateBought" dataDxfId="149"/>
    <tableColumn id="10" xr3:uid="{B9195F32-3DCB-475A-AE05-FBE7A3F89DBB}" name="dateSold" dataDxfId="136"/>
    <tableColumn id="28" xr3:uid="{6D798BB9-0918-43D0-BE05-34A42AFD2CEC}" name="priceBought" dataDxfId="135" dataCellStyle="Currency"/>
    <tableColumn id="27" xr3:uid="{066B21F8-8CC7-41EC-AD37-FC7E4CFC8449}" name="priceSold" dataDxfId="133" dataCellStyle="Currency"/>
    <tableColumn id="11" xr3:uid="{D9B8969C-85D4-4D01-A2A8-39761DF8D6BA}" name="netPrice" dataDxfId="134" dataCellStyle="Currency"/>
    <tableColumn id="12" xr3:uid="{3350CDE1-960D-43C6-8C2C-203FAB86A37F}" name="SFBreeder" dataDxfId="148"/>
    <tableColumn id="13" xr3:uid="{D63AF872-C70A-4599-8074-33AF2AEC1D7E}" name="SF" dataDxfId="147"/>
    <tableColumn id="14" xr3:uid="{78080E63-F4AF-46EF-A128-77975796AA82}" name="soldBySF" dataDxfId="146"/>
    <tableColumn id="15" xr3:uid="{0519F148-990E-4CB3-B442-B505AE994752}" name="studFeeUSD" dataDxfId="145" dataCellStyle="Currency"/>
    <tableColumn id="16" xr3:uid="{79BEBF91-9CCC-4C01-A288-6BD78BBCCF70}" name="studFeeEarned" dataDxfId="144" dataCellStyle="Currency"/>
    <tableColumn id="17" xr3:uid="{A0B2C60D-BC70-45DF-BA84-2BA5BB9F67DD}" name="ownProfitMinusFees" dataDxfId="143" dataCellStyle="Currency"/>
    <tableColumn id="18" xr3:uid="{9B3448CA-2AAE-4782-97C9-6EA431033C7E}" name="timeKept" dataDxfId="142"/>
    <tableColumn id="19" xr3:uid="{94E5E7F7-D182-41FB-9198-CFF47098E65B}" name="offsOwnProfitMinusFees" dataDxfId="141" dataCellStyle="Currency"/>
    <tableColumn id="20" xr3:uid="{E10B7527-D4F8-4679-9D8D-8054F4CEAC06}" name="offsStudFeeUSD" dataDxfId="140" dataCellStyle="Currency"/>
    <tableColumn id="21" xr3:uid="{3B462E4A-7788-4439-9F85-C4987ED71F6E}" name="offsTimeKept" dataDxfId="139"/>
    <tableColumn id="22" xr3:uid="{5412F11E-74F8-4B75-8B3A-B4908A63B2C8}" name="totalProfit" dataDxfId="132"/>
    <tableColumn id="23" xr3:uid="{A9A17998-EACE-462A-9548-154F6388CDBD}" name="totalTimeKept" dataDxfId="130" dataCellStyle="Currency"/>
    <tableColumn id="25" xr3:uid="{104435EE-E4E7-4A2B-9282-5E8BB4AAA292}" name="Maintenance cost" dataDxfId="131" dataCellStyle="Currency">
      <calculatedColumnFormula>Table1[[#This Row],[totalTimeKept]]*$AD$3</calculatedColumnFormula>
    </tableColumn>
    <tableColumn id="26" xr3:uid="{7BC28ACE-B695-4421-85E4-D95419BB99F0}" name="Accounting profit" dataDxfId="138" dataCellStyle="Currency">
      <calculatedColumnFormula>Y2-Z2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64B226-DCC6-4F65-AB36-571BD3C80CF4}" name="Table3" displayName="Table3" ref="A2:EA237" totalsRowShown="0" headerRowDxfId="137">
  <autoFilter ref="A2:EA237" xr:uid="{A064B226-DCC6-4F65-AB36-571BD3C80CF4}"/>
  <sortState xmlns:xlrd2="http://schemas.microsoft.com/office/spreadsheetml/2017/richdata2" ref="A3:EA237">
    <sortCondition ref="D2:D237"/>
  </sortState>
  <tableColumns count="131">
    <tableColumn id="1" xr3:uid="{05982E31-6097-4A63-8A99-F0280E68A70A}" name="damId"/>
    <tableColumn id="2" xr3:uid="{44649B24-796B-43B1-80B3-6CCB5F0F3539}" name="dam" dataDxfId="129"/>
    <tableColumn id="3" xr3:uid="{4A57E689-3DA8-4C9E-B4D4-674D6C68375A}" name="type" dataDxfId="128"/>
    <tableColumn id="4" xr3:uid="{49BC2205-65B3-438E-97F9-5A2EFBA5E4EC}" name="First birth _x000a_with SF" dataDxfId="127"/>
    <tableColumn id="5" xr3:uid="{0460217E-205C-4499-8CD2-C1918DBD711B}" name="First season _x000a_with SF" dataDxfId="126"/>
    <tableColumn id="126" xr3:uid="{720AEA9D-9473-4E96-81FB-F590DD6F6484}" name="Last Season_x000a_with SF" dataDxfId="125">
      <calculatedColumnFormula>Table3[[#This Row],[First season 
with SF]]+Table3[[#This Row],['# Services 
provided]]</calculatedColumnFormula>
    </tableColumn>
    <tableColumn id="127" xr3:uid="{25848370-88A4-4F3B-A66E-28EABB6399C5}" name="Return on Investment_x000a_(Total Income - Price bought / Price bought)" dataDxfId="124" dataCellStyle="Percent">
      <calculatedColumnFormula>(Table3[[#This Row],[Total Income 
(Race + Price 
sold + Offs - maintenance cost)]]-Table3[[#This Row],[Price 
Bought]])/Table3[[#This Row],[Price 
Bought]]</calculatedColumnFormula>
    </tableColumn>
    <tableColumn id="128" xr3:uid="{B1708806-FA1D-4D29-B0BE-6ED8B80BD076}" name="Total Income _x000a_(Race + Price _x000a_sold + Offs - maintenance cost)" dataDxfId="123" dataCellStyle="Percent">
      <calculatedColumnFormula>Table3[[#This Row],[Race 
earnings]]+Table3[[#This Row],[Price 
Sold]]-Table3[[#This Row],[Maintenance cost]]+Table3[[#This Row],[Total 
profit (Income - cost)]]</calculatedColumnFormula>
    </tableColumn>
    <tableColumn id="122" xr3:uid="{0F72FD67-8A61-4C88-AACE-188C2861FD0A}" name="Race _x000a_earnings" dataDxfId="122" dataCellStyle="Currency">
      <calculatedColumnFormula>_xlfn.IFNA(VLOOKUP(Table3[[#This Row],[damId]],Sheet1!$A$2:$M$970,5, FALSE), VLOOKUP(Table3[[#This Row],[dam]],Sheet1!$B$2:$M$970,4, FALSE))</calculatedColumnFormula>
    </tableColumn>
    <tableColumn id="123" xr3:uid="{2BA1646F-DF3A-4949-BCF7-2ED9D982CB38}" name="Net auction value" dataDxfId="121" dataCellStyle="Currency">
      <calculatedColumnFormula>_xlfn.IFNA(VLOOKUP(Table3[[#This Row],[damId]],Sheet1!$A$2:$M$970,13, FALSE), VLOOKUP(Table3[[#This Row],[dam]],Sheet1!$B$2:$M$970,13, FALSE))</calculatedColumnFormula>
    </tableColumn>
    <tableColumn id="125" xr3:uid="{227099FF-8144-467A-AF58-EBC514551E87}" name="Price _x000a_Bought" dataDxfId="120" dataCellStyle="Currency">
      <calculatedColumnFormula>_xlfn.IFNA(VLOOKUP(Table3[[#This Row],[damId]],Sheet1!$A$2:$M$970,11, FALSE), VLOOKUP(Table3[[#This Row],[dam]],Sheet1!$B$2:$M$970,11, FALSE))</calculatedColumnFormula>
    </tableColumn>
    <tableColumn id="129" xr3:uid="{2287F4A3-DA6E-42BD-AF94-E4F7CE818369}" name="Price _x000a_Sold" dataDxfId="119" dataCellStyle="Currency">
      <calculatedColumnFormula>_xlfn.IFNA(VLOOKUP(Table3[[#This Row],[damId]],Sheet1!$A$2:$M$970,12, FALSE), VLOOKUP(Table3[[#This Row],[dam]],Sheet1!$B$2:$M$970,12, FALSE))</calculatedColumnFormula>
    </tableColumn>
    <tableColumn id="124" xr3:uid="{B4A52F49-627D-4C02-B2A2-A65AF3BDADF5}" name="Maintenance cost" dataDxfId="118" dataCellStyle="Currency">
      <calculatedColumnFormula>_xlfn.IFNA(VLOOKUP(Table3[[#This Row],[damId]],Sheet1!$A$2:$T$970,20, FALSE), VLOOKUP(Table3[[#This Row],[dam]],Sheet1!$B$2:$T$970,20, FALSE))*Sheet1!$AD$3</calculatedColumnFormula>
    </tableColumn>
    <tableColumn id="114" xr3:uid="{C3016469-E0E3-4731-BE33-F7E8BF8A3F46}" name="Total _x000a_profit (Income - cost)" dataDxfId="117" dataCellStyle="Currency">
      <calculatedColumnFormula>Table3[[#This Row],[Total 
income (Earnings + value - stud fee)]]-Table3[[#This Row],[Maintenance cost ]]</calculatedColumnFormula>
    </tableColumn>
    <tableColumn id="133" xr3:uid="{54B9AA20-3639-4634-820A-45DCD4F4F0CE}" name="Total _x000a_income (Earnings + value - stud fee)" dataDxfId="116" dataCellStyle="Currency">
      <calculatedColumnFormula>SUM(Table3[[#This Row],[income1]:[income12]])</calculatedColumnFormula>
    </tableColumn>
    <tableColumn id="131" xr3:uid="{94FD2E20-9A93-4F04-B885-0BFA8E05428C}" name="Maintenance cost " dataDxfId="115" dataCellStyle="Currency">
      <calculatedColumnFormula>_xlfn.IFNA(VLOOKUP(Table3[[#This Row],[damId]],Sheet1!$A$2:$Y$970,23, FALSE), VLOOKUP(Table3[[#This Row],[dam]],Sheet1!$B$2:$Y$970,23, FALSE))*Sheet1!$AD$3</calculatedColumnFormula>
    </tableColumn>
    <tableColumn id="119" xr3:uid="{362B573B-4C20-45CD-92C5-4D4A58316C36}" name="Total earnings" dataDxfId="114" dataCellStyle="Currency">
      <calculatedColumnFormula>SUM(Table3[[#This Row],[earningsInRaces1]:[earningsInRaces12]])</calculatedColumnFormula>
    </tableColumn>
    <tableColumn id="120" xr3:uid="{6E0D5B97-2D20-4033-B888-97B7FEE69A47}" name="Total auction value" dataDxfId="113" dataCellStyle="Currency">
      <calculatedColumnFormula>SUM(Table3[[#This Row],[auctionPrice1]:[auctionPrice12]])</calculatedColumnFormula>
    </tableColumn>
    <tableColumn id="121" xr3:uid="{7AF1D3A2-23E5-4ED1-B113-CAFB540349CA}" name="Total _x000a_Stud Fee" dataDxfId="112" dataCellStyle="Currency">
      <calculatedColumnFormula>SUM(Table3[[#This Row],[studFeeUSD1]:[studFeeUSD12]])</calculatedColumnFormula>
    </tableColumn>
    <tableColumn id="115" xr3:uid="{7EE5E65F-F3AC-495F-9F29-501A3A3A28FF}" name="# Services _x000a_provided" dataDxfId="111" dataCellStyle="Currency">
      <calculatedColumnFormula>COUNT(Table3[[#This Row],[successfulService1]:[successfulService12]])</calculatedColumnFormula>
    </tableColumn>
    <tableColumn id="116" xr3:uid="{89D8955F-A97E-420E-B7DC-0E7AD38A7FF4}" name="# Offspring _x000a_produced" dataDxfId="110" dataCellStyle="Currency">
      <calculatedColumnFormula>SUM(Table3[[#This Row],[successfulService1]:[successfulService12]])</calculatedColumnFormula>
    </tableColumn>
    <tableColumn id="117" xr3:uid="{6F8A6489-170A-4EEC-B208-22ECFB8ADF63}" name="# Offspring sold _x000a_at auction" dataDxfId="109" dataCellStyle="Currency">
      <calculatedColumnFormula>SUM(Table3[[#This Row],[soldInAuction1]:[soldInAuction12]])</calculatedColumnFormula>
    </tableColumn>
    <tableColumn id="118" xr3:uid="{0F047873-827A-44EA-B12D-999660574503}" name="# Foreign _x000a_offspring" dataDxfId="108" dataCellStyle="Currency">
      <calculatedColumnFormula>SUM(Table3[[#This Row],[foreignHorse1]:[foreignHorse12]])</calculatedColumnFormula>
    </tableColumn>
    <tableColumn id="6" xr3:uid="{8226D611-DF1A-4826-9133-06B90DD7D274}" name="income1" dataDxfId="107" dataCellStyle="Currency"/>
    <tableColumn id="7" xr3:uid="{5E1F1B50-1E3E-4FEA-8BEE-7C37169991C3}" name="income2" dataDxfId="106" dataCellStyle="Currency"/>
    <tableColumn id="8" xr3:uid="{CF8CB5F0-3D32-4D5A-ADFC-5362AE5AEF56}" name="income3" dataDxfId="105" dataCellStyle="Currency"/>
    <tableColumn id="9" xr3:uid="{1A675B71-8D9A-425B-8966-97006DD2C9D3}" name="income4" dataDxfId="104" dataCellStyle="Currency"/>
    <tableColumn id="10" xr3:uid="{726212A8-65F5-4812-9282-9D0A335B8B41}" name="income5" dataDxfId="103" dataCellStyle="Currency"/>
    <tableColumn id="11" xr3:uid="{CF9CF3F3-5014-4FC1-9F29-35A45E4509A0}" name="income6" dataDxfId="102" dataCellStyle="Currency"/>
    <tableColumn id="12" xr3:uid="{394CA66A-8D49-47AB-B507-008DADFD346E}" name="income7" dataDxfId="101" dataCellStyle="Currency"/>
    <tableColumn id="13" xr3:uid="{59BBA1ED-81A0-4C42-BEC5-04734B959010}" name="income8" dataDxfId="100" dataCellStyle="Currency"/>
    <tableColumn id="14" xr3:uid="{4A5FEF28-2C37-4A75-B8B6-E86EEC51698E}" name="income9" dataDxfId="99" dataCellStyle="Currency"/>
    <tableColumn id="15" xr3:uid="{B78F7FB0-F315-4745-BA7A-C471A0C15961}" name="income10" dataDxfId="98" dataCellStyle="Currency"/>
    <tableColumn id="16" xr3:uid="{C9B4A713-90FB-41CD-B412-6E443B3E0820}" name="income11" dataDxfId="97" dataCellStyle="Currency"/>
    <tableColumn id="17" xr3:uid="{D2B05CDF-BA56-453E-95D0-95FBF2052966}" name="income12" dataDxfId="96" dataCellStyle="Currency"/>
    <tableColumn id="18" xr3:uid="{CB39AF58-DA4E-4E79-B885-E66690601A1D}" name="earningsInRaces1" dataDxfId="95" dataCellStyle="Currency"/>
    <tableColumn id="19" xr3:uid="{AD792934-2F81-4689-88D0-19425376DD28}" name="earningsInRaces2" dataDxfId="94" dataCellStyle="Currency"/>
    <tableColumn id="20" xr3:uid="{DC846B16-39EC-425C-AA1D-F0CCB372DB86}" name="earningsInRaces3" dataDxfId="93" dataCellStyle="Currency"/>
    <tableColumn id="21" xr3:uid="{1E5885B6-0937-4485-A822-A7002E43338C}" name="earningsInRaces4" dataDxfId="92" dataCellStyle="Currency"/>
    <tableColumn id="22" xr3:uid="{E3995DF4-0551-414D-AFE5-25DA8BD39968}" name="earningsInRaces5" dataDxfId="91" dataCellStyle="Currency"/>
    <tableColumn id="23" xr3:uid="{44DBD4C4-EC21-4EDC-8070-8F063477CE7E}" name="earningsInRaces6" dataDxfId="90" dataCellStyle="Currency"/>
    <tableColumn id="24" xr3:uid="{0D3459B6-D9B9-4548-B326-100F9703DDBA}" name="earningsInRaces7" dataDxfId="89" dataCellStyle="Currency"/>
    <tableColumn id="25" xr3:uid="{CD3383FD-83C3-46B1-95ED-D8B9A46627DA}" name="earningsInRaces8" dataDxfId="88" dataCellStyle="Currency"/>
    <tableColumn id="26" xr3:uid="{84BA0E2B-52EC-4A50-B171-7114C760074F}" name="earningsInRaces9" dataDxfId="87" dataCellStyle="Currency"/>
    <tableColumn id="27" xr3:uid="{8DA42410-AFE3-448C-9E79-E4D3403369B8}" name="earningsInRaces10" dataDxfId="86" dataCellStyle="Currency"/>
    <tableColumn id="28" xr3:uid="{D5AE36A6-8DB0-495E-8E89-72EC9371F37C}" name="earningsInRaces11" dataDxfId="85" dataCellStyle="Currency"/>
    <tableColumn id="29" xr3:uid="{F338CB4D-0F44-44B8-8A9B-F4E63D337CEF}" name="earningsInRaces12" dataDxfId="84" dataCellStyle="Currency"/>
    <tableColumn id="30" xr3:uid="{1FD8973A-9481-47D3-8520-DA4172245ABC}" name="auctionPrice1" dataDxfId="83" dataCellStyle="Currency"/>
    <tableColumn id="31" xr3:uid="{FE829681-E593-4EB5-BF3E-13FFDB02C491}" name="auctionPrice2" dataDxfId="82" dataCellStyle="Currency"/>
    <tableColumn id="32" xr3:uid="{DCC9F31E-F0E4-4D66-8AC9-0A4D36316B49}" name="auctionPrice3" dataDxfId="81" dataCellStyle="Currency"/>
    <tableColumn id="33" xr3:uid="{98711F67-2662-4ADE-9EF7-A314C630DE44}" name="auctionPrice4" dataDxfId="80" dataCellStyle="Currency"/>
    <tableColumn id="34" xr3:uid="{A999AE75-3BEC-46EC-8738-578377D3C82B}" name="auctionPrice5" dataDxfId="79" dataCellStyle="Currency"/>
    <tableColumn id="35" xr3:uid="{41473E50-1E4F-41A3-A8E9-070730F52057}" name="auctionPrice6" dataDxfId="78" dataCellStyle="Currency"/>
    <tableColumn id="36" xr3:uid="{021C8B30-79F8-440E-BE35-5CA63E2C449A}" name="auctionPrice7" dataDxfId="77" dataCellStyle="Currency"/>
    <tableColumn id="37" xr3:uid="{57DEE7A5-F8A8-445E-94F1-248B35B0D05B}" name="auctionPrice8" dataDxfId="76" dataCellStyle="Currency"/>
    <tableColumn id="38" xr3:uid="{1D122228-C90E-41A9-8035-59D02E2BE25F}" name="auctionPrice9" dataDxfId="75" dataCellStyle="Currency"/>
    <tableColumn id="39" xr3:uid="{C75517DA-2279-4D4B-AC1E-8C7C86E9E7FF}" name="auctionPrice10" dataDxfId="74" dataCellStyle="Currency"/>
    <tableColumn id="40" xr3:uid="{87F5E8CE-03B1-4BB0-AF12-E4658BA78877}" name="auctionPrice11" dataDxfId="73" dataCellStyle="Currency"/>
    <tableColumn id="41" xr3:uid="{75A731CC-CA7B-469E-902F-D132887BF281}" name="auctionPrice12" dataDxfId="72" dataCellStyle="Currency"/>
    <tableColumn id="42" xr3:uid="{AD15BE5A-B1B4-4E38-AA6A-9FBF709E726F}" name="studFeeUSD1" dataDxfId="71" dataCellStyle="Currency"/>
    <tableColumn id="43" xr3:uid="{D0B8E9E5-74E1-4CE7-9F12-594292A7DC91}" name="studFeeUSD2" dataDxfId="70" dataCellStyle="Currency"/>
    <tableColumn id="44" xr3:uid="{04A850A9-A53E-4CBB-B4B4-559D6B85A7B6}" name="studFeeUSD3" dataDxfId="69" dataCellStyle="Currency"/>
    <tableColumn id="45" xr3:uid="{C5A73C08-3D43-460A-B050-B1229E697F7A}" name="studFeeUSD4" dataDxfId="68" dataCellStyle="Currency"/>
    <tableColumn id="46" xr3:uid="{B1BF85FA-2E81-45D0-9BAC-E642217FF93C}" name="studFeeUSD5" dataDxfId="67" dataCellStyle="Currency"/>
    <tableColumn id="47" xr3:uid="{4D81E347-B72A-4F9A-9D9F-9E2B5FCDB915}" name="studFeeUSD6" dataDxfId="66" dataCellStyle="Currency"/>
    <tableColumn id="48" xr3:uid="{CB7A005C-6B6C-436D-938F-7B2852F889AB}" name="studFeeUSD7" dataDxfId="65" dataCellStyle="Currency"/>
    <tableColumn id="49" xr3:uid="{06014DDF-CE06-464D-8853-85E04EDF843D}" name="studFeeUSD8" dataDxfId="64" dataCellStyle="Currency"/>
    <tableColumn id="50" xr3:uid="{A5898F48-64B1-469E-BD09-20F3A4DA41F7}" name="studFeeUSD9" dataDxfId="63" dataCellStyle="Currency"/>
    <tableColumn id="51" xr3:uid="{B137FE88-AC56-4CB8-B106-CE194C1A2C9F}" name="studFeeUSD10" dataDxfId="62" dataCellStyle="Currency"/>
    <tableColumn id="52" xr3:uid="{6E34CD69-102F-419D-8978-389C0D0762DD}" name="studFeeUSD11" dataDxfId="61" dataCellStyle="Currency"/>
    <tableColumn id="53" xr3:uid="{6EEB2DC7-CE8B-4881-A28A-FCC5D8334B2C}" name="studFeeUSD12" dataDxfId="60" dataCellStyle="Currency"/>
    <tableColumn id="54" xr3:uid="{BD37BCFB-0599-47C7-9F15-2022C9FAD3D6}" name="racedInRaces1" dataDxfId="59"/>
    <tableColumn id="55" xr3:uid="{51B88867-29E9-4A9F-9338-E9104C0F091A}" name="racedInRaces2" dataDxfId="58"/>
    <tableColumn id="56" xr3:uid="{80C6CF9C-0477-4FAE-9AF7-EB6496F69FFF}" name="racedInRaces3" dataDxfId="57"/>
    <tableColumn id="57" xr3:uid="{92E03D77-22B6-4994-B0F8-74D75AC3E83E}" name="racedInRaces4" dataDxfId="56"/>
    <tableColumn id="58" xr3:uid="{73E97AB3-7720-44CB-8CF5-13138081810A}" name="racedInRaces5" dataDxfId="55"/>
    <tableColumn id="59" xr3:uid="{6100554F-38BA-40A1-904A-432867EBB9C6}" name="racedInRaces6" dataDxfId="54"/>
    <tableColumn id="60" xr3:uid="{C04A15B2-CCA1-430B-B5D6-5EE3BC6DBBF0}" name="racedInRaces7" dataDxfId="53"/>
    <tableColumn id="61" xr3:uid="{508EEAB9-1151-4DBE-AAD9-FE9ADB9ABD21}" name="racedInRaces8" dataDxfId="52"/>
    <tableColumn id="62" xr3:uid="{98EC34B1-AE62-4E9F-8360-1084F80140C4}" name="racedInRaces9" dataDxfId="51"/>
    <tableColumn id="63" xr3:uid="{70B432AC-EB66-4239-9F91-5B52F292296F}" name="racedInRaces10" dataDxfId="50"/>
    <tableColumn id="64" xr3:uid="{C6759E7A-4A92-4E60-8261-AB9FEC0A7F9E}" name="racedInRaces11" dataDxfId="49"/>
    <tableColumn id="65" xr3:uid="{93163462-0C92-4800-9D0A-F45290400188}" name="racedInRaces12" dataDxfId="48"/>
    <tableColumn id="66" xr3:uid="{518F2C0D-E574-4798-AC92-F78D44BFEBA1}" name="successfulService1" dataDxfId="47"/>
    <tableColumn id="67" xr3:uid="{DADF3D35-922B-4584-BF03-EBFB8EDFD15A}" name="successfulService2" dataDxfId="46"/>
    <tableColumn id="68" xr3:uid="{F299C92E-B458-4CDD-BA3E-CDD2621C0422}" name="successfulService3" dataDxfId="45"/>
    <tableColumn id="69" xr3:uid="{F4619910-8105-48DE-BBD4-1BFCB2D8CE0A}" name="successfulService4" dataDxfId="44"/>
    <tableColumn id="70" xr3:uid="{7A6EDC3B-54E0-4AD5-893E-1DB5E8B5E416}" name="successfulService5" dataDxfId="43"/>
    <tableColumn id="71" xr3:uid="{C52F9F44-B15B-4B16-AE89-816D4440CF9F}" name="successfulService6" dataDxfId="42"/>
    <tableColumn id="72" xr3:uid="{88ACA298-8573-4D85-8BFF-E7C18DC18781}" name="successfulService7" dataDxfId="41"/>
    <tableColumn id="73" xr3:uid="{43CAFAA2-489F-4A1D-8CD1-401105240D6A}" name="successfulService8" dataDxfId="40"/>
    <tableColumn id="74" xr3:uid="{016B2015-A203-45B4-B5E3-D65A94D429AB}" name="successfulService9" dataDxfId="39"/>
    <tableColumn id="75" xr3:uid="{8C1290F1-B5E8-4F47-B6E3-E025E0C5AFC1}" name="successfulService10" dataDxfId="38"/>
    <tableColumn id="76" xr3:uid="{EBE9F8EF-302C-4AA9-8B52-AC1896B4B542}" name="successfulService11" dataDxfId="37"/>
    <tableColumn id="77" xr3:uid="{683EE07C-7709-43A0-BFD5-86CD4F381B28}" name="successfulService12" dataDxfId="36"/>
    <tableColumn id="78" xr3:uid="{1C80AB09-275D-4359-AE6B-F99DB44E8667}" name="soldInAuction1" dataDxfId="35"/>
    <tableColumn id="79" xr3:uid="{C53D2E54-03AC-410F-B723-750B23F0A4FF}" name="soldInAuction2" dataDxfId="34"/>
    <tableColumn id="80" xr3:uid="{4CF41B02-A571-49CE-99A3-ED9332E36B39}" name="soldInAuction3" dataDxfId="33"/>
    <tableColumn id="81" xr3:uid="{18D366F4-42EE-4C9D-90F3-FB1C51D59615}" name="soldInAuction4" dataDxfId="32"/>
    <tableColumn id="82" xr3:uid="{755A5AA3-1936-415F-B38F-C5905433CE64}" name="soldInAuction5" dataDxfId="31"/>
    <tableColumn id="83" xr3:uid="{2EBC2547-33C5-4927-8E84-0F990ACF2F30}" name="soldInAuction6" dataDxfId="30"/>
    <tableColumn id="84" xr3:uid="{268E769A-A969-4F95-A4A5-9386C078F19A}" name="soldInAuction7" dataDxfId="29"/>
    <tableColumn id="85" xr3:uid="{83FA1C1C-DC9E-4122-86CD-C982E515D0A4}" name="soldInAuction8" dataDxfId="28"/>
    <tableColumn id="86" xr3:uid="{9DB19FE4-61CC-41E3-B7EC-90F533FD73AD}" name="soldInAuction9" dataDxfId="27"/>
    <tableColumn id="87" xr3:uid="{5B8834C4-0AE5-4239-B750-B680C0BD123A}" name="soldInAuction10" dataDxfId="26"/>
    <tableColumn id="88" xr3:uid="{9EA7B2EF-3481-4BB1-AE91-E68744BF16FA}" name="soldInAuction11" dataDxfId="25"/>
    <tableColumn id="89" xr3:uid="{E568F7AF-1553-4333-B0F1-202A350F29F1}" name="soldInAuction12" dataDxfId="24"/>
    <tableColumn id="90" xr3:uid="{81BAE399-159B-4022-B97D-65EEE2BBA380}" name="foreignHorse1" dataDxfId="23"/>
    <tableColumn id="91" xr3:uid="{3A610446-33F9-429B-B5D2-3A920043FE08}" name="foreignHorse2" dataDxfId="22"/>
    <tableColumn id="92" xr3:uid="{608486D6-EA22-4CE1-A236-188DC7CB05AA}" name="foreignHorse3" dataDxfId="21"/>
    <tableColumn id="93" xr3:uid="{36F0BEE5-4D16-494E-B32A-D3FC68782B8A}" name="foreignHorse4" dataDxfId="20"/>
    <tableColumn id="94" xr3:uid="{05F95878-B1FC-43D5-A719-B39FD86984E5}" name="foreignHorse5" dataDxfId="19"/>
    <tableColumn id="95" xr3:uid="{8D347162-FDC3-4F0C-8062-C923A9458931}" name="foreignHorse6" dataDxfId="18"/>
    <tableColumn id="96" xr3:uid="{C2511C0D-83C8-40FD-836D-D2BACED40531}" name="foreignHorse7" dataDxfId="17"/>
    <tableColumn id="97" xr3:uid="{AF204644-AC9A-4337-9474-F49B1B8E9E0F}" name="foreignHorse8" dataDxfId="16"/>
    <tableColumn id="98" xr3:uid="{1A8856DE-5A6D-4115-BD74-62AD82D69718}" name="foreignHorse9" dataDxfId="15"/>
    <tableColumn id="99" xr3:uid="{1A504FBF-0440-463C-9C78-C6B8ED51A7C7}" name="foreignHorse10" dataDxfId="14"/>
    <tableColumn id="100" xr3:uid="{7C5ECF7A-B3EC-4E75-9A11-FDD6EA5C945F}" name="foreignHorse11" dataDxfId="13"/>
    <tableColumn id="101" xr3:uid="{4A5900A5-DA5E-4C08-818D-298EF88F946A}" name="foreignHorse12" dataDxfId="12"/>
    <tableColumn id="102" xr3:uid="{C75F4A6F-3AC5-4C9B-B278-57C553A1B63B}" name="mSeason1" dataDxfId="11"/>
    <tableColumn id="103" xr3:uid="{476DDDCD-6F97-458E-BDEC-89D2A1F078AC}" name="mSeason2" dataDxfId="10"/>
    <tableColumn id="104" xr3:uid="{EF4CCB54-F710-4A2F-82AF-ABF284ABF574}" name="mSeason3" dataDxfId="9"/>
    <tableColumn id="105" xr3:uid="{ED5595C2-9392-449C-B958-90F5D070F589}" name="mSeason4" dataDxfId="8"/>
    <tableColumn id="106" xr3:uid="{735CE269-0BCA-4007-A351-39BA415775B6}" name="mSeason5" dataDxfId="7"/>
    <tableColumn id="107" xr3:uid="{C283D00C-BC28-401F-AD7E-65295DF1CBDE}" name="mSeason6" dataDxfId="6"/>
    <tableColumn id="108" xr3:uid="{9BD4D99D-723C-434F-B589-3AF6DEB1456E}" name="mSeason7" dataDxfId="5"/>
    <tableColumn id="109" xr3:uid="{00B732C1-FB94-4F9A-92E8-6E5C142B1138}" name="mSeason8" dataDxfId="4"/>
    <tableColumn id="110" xr3:uid="{3BC1566E-40C3-45E0-BC37-EB0D0D48491F}" name="mSeason9" dataDxfId="3"/>
    <tableColumn id="111" xr3:uid="{DDF4EB08-79FF-47A4-8299-06619177374C}" name="mSeason10" dataDxfId="2"/>
    <tableColumn id="112" xr3:uid="{7732AE16-2E8D-4F88-A51C-4A7F4101ABFA}" name="mSeason11" dataDxfId="1"/>
    <tableColumn id="113" xr3:uid="{66119324-437A-4E6D-BE17-2F08BFFA77EE}" name="mSeason12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70"/>
  <sheetViews>
    <sheetView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W3" sqref="W3"/>
    </sheetView>
  </sheetViews>
  <sheetFormatPr defaultRowHeight="14.4" x14ac:dyDescent="0.3"/>
  <cols>
    <col min="1" max="1" width="9" style="1" bestFit="1" customWidth="1"/>
    <col min="2" max="3" width="22" style="1" bestFit="1" customWidth="1"/>
    <col min="4" max="4" width="9" style="1" bestFit="1" customWidth="1"/>
    <col min="5" max="5" width="12" style="1" customWidth="1"/>
    <col min="6" max="7" width="25.109375" style="1" bestFit="1" customWidth="1"/>
    <col min="8" max="8" width="9.88671875" style="1" bestFit="1" customWidth="1"/>
    <col min="9" max="9" width="12.88671875" style="1" customWidth="1"/>
    <col min="10" max="10" width="10.5546875" style="1" customWidth="1"/>
    <col min="11" max="11" width="15.6640625" style="1" bestFit="1" customWidth="1"/>
    <col min="12" max="12" width="13.21875" style="1" bestFit="1" customWidth="1"/>
    <col min="13" max="13" width="14.21875" style="1" bestFit="1" customWidth="1"/>
    <col min="14" max="14" width="11.77734375" style="1" customWidth="1"/>
    <col min="15" max="15" width="4.88671875" style="1" customWidth="1"/>
    <col min="16" max="16" width="10.5546875" style="1" customWidth="1"/>
    <col min="17" max="17" width="13.6640625" style="1" bestFit="1" customWidth="1"/>
    <col min="18" max="18" width="13.6640625" style="1" customWidth="1"/>
    <col min="19" max="19" width="21" style="1" customWidth="1"/>
    <col min="20" max="20" width="11" style="1" customWidth="1"/>
    <col min="21" max="21" width="24.5546875" style="1" customWidth="1"/>
    <col min="22" max="22" width="17" style="1" customWidth="1"/>
    <col min="23" max="23" width="14.5546875" style="1" customWidth="1"/>
    <col min="24" max="24" width="16.6640625" style="1" customWidth="1"/>
    <col min="25" max="25" width="14.21875" style="1" bestFit="1" customWidth="1"/>
    <col min="26" max="26" width="20.5546875" bestFit="1" customWidth="1"/>
    <col min="27" max="27" width="17.77734375" customWidth="1"/>
    <col min="29" max="29" width="44.33203125" bestFit="1" customWidth="1"/>
    <col min="30" max="30" width="15.21875" bestFit="1" customWidth="1"/>
  </cols>
  <sheetData>
    <row r="1" spans="1:3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1676</v>
      </c>
      <c r="L1" s="1" t="s">
        <v>1677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1531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1524</v>
      </c>
      <c r="AA1" s="1" t="s">
        <v>1525</v>
      </c>
    </row>
    <row r="2" spans="1:31" x14ac:dyDescent="0.3">
      <c r="A2" s="1">
        <v>1433178</v>
      </c>
      <c r="B2" s="1" t="s">
        <v>22</v>
      </c>
      <c r="C2" s="1" t="s">
        <v>23</v>
      </c>
      <c r="D2" s="1">
        <v>954920</v>
      </c>
      <c r="E2" s="1">
        <v>0</v>
      </c>
      <c r="F2" s="1" t="s">
        <v>24</v>
      </c>
      <c r="G2" s="1" t="s">
        <v>25</v>
      </c>
      <c r="H2" s="2">
        <v>34439</v>
      </c>
      <c r="I2" s="2">
        <v>41224</v>
      </c>
      <c r="J2" s="2" t="s">
        <v>25</v>
      </c>
      <c r="K2" s="3">
        <v>100000</v>
      </c>
      <c r="L2" s="3"/>
      <c r="M2" s="3">
        <v>-100000</v>
      </c>
      <c r="O2" s="1">
        <v>1</v>
      </c>
      <c r="P2" s="1">
        <v>0</v>
      </c>
      <c r="Q2" s="3">
        <v>212500</v>
      </c>
      <c r="R2" s="3"/>
      <c r="S2" s="3">
        <v>-312500</v>
      </c>
      <c r="T2" s="1">
        <v>12.27671</v>
      </c>
      <c r="U2" s="3">
        <v>772290</v>
      </c>
      <c r="V2" s="3">
        <v>200000</v>
      </c>
      <c r="W2" s="1">
        <v>10.523289999999999</v>
      </c>
      <c r="X2" s="1">
        <v>459790</v>
      </c>
      <c r="Y2" s="22">
        <v>22.8</v>
      </c>
      <c r="Z2" s="4">
        <f>Table1[[#This Row],[totalTimeKept]]*$AD$3</f>
        <v>342000</v>
      </c>
      <c r="AA2" s="4">
        <f>Y2-Z2</f>
        <v>-341977.2</v>
      </c>
      <c r="AC2" t="s">
        <v>1522</v>
      </c>
      <c r="AD2">
        <v>1250</v>
      </c>
    </row>
    <row r="3" spans="1:31" x14ac:dyDescent="0.3">
      <c r="A3" s="1">
        <v>1438514</v>
      </c>
      <c r="B3" s="1" t="s">
        <v>26</v>
      </c>
      <c r="C3" s="1" t="s">
        <v>27</v>
      </c>
      <c r="D3" s="1">
        <v>1078254</v>
      </c>
      <c r="E3" s="1">
        <v>0</v>
      </c>
      <c r="F3" s="1" t="s">
        <v>24</v>
      </c>
      <c r="G3" s="1" t="s">
        <v>25</v>
      </c>
      <c r="H3" s="2">
        <v>34387</v>
      </c>
      <c r="I3" s="2">
        <v>40857</v>
      </c>
      <c r="J3" s="2" t="s">
        <v>25</v>
      </c>
      <c r="K3" s="3">
        <v>80000</v>
      </c>
      <c r="L3" s="3"/>
      <c r="M3" s="3">
        <v>-80000</v>
      </c>
      <c r="O3" s="1">
        <v>1</v>
      </c>
      <c r="P3" s="1">
        <v>0</v>
      </c>
      <c r="Q3" s="3">
        <v>35000</v>
      </c>
      <c r="R3" s="3"/>
      <c r="S3" s="3">
        <v>-115000</v>
      </c>
      <c r="T3" s="1">
        <v>13.28219</v>
      </c>
      <c r="U3" s="3"/>
      <c r="V3" s="3"/>
      <c r="X3" s="1">
        <v>-115000</v>
      </c>
      <c r="Y3" s="22">
        <v>13.28219</v>
      </c>
      <c r="Z3" s="4">
        <f>Table1[[#This Row],[totalTimeKept]]*$AD$3</f>
        <v>199232.85</v>
      </c>
      <c r="AA3" s="4">
        <f>Y3-Z3</f>
        <v>-199219.56781000001</v>
      </c>
      <c r="AC3" t="s">
        <v>1523</v>
      </c>
      <c r="AD3">
        <f>12*AD2</f>
        <v>15000</v>
      </c>
    </row>
    <row r="4" spans="1:31" x14ac:dyDescent="0.3">
      <c r="A4" s="1">
        <v>1692831</v>
      </c>
      <c r="B4" s="1" t="s">
        <v>28</v>
      </c>
      <c r="C4" s="1" t="s">
        <v>29</v>
      </c>
      <c r="D4" s="1">
        <v>924722</v>
      </c>
      <c r="E4" s="1">
        <v>0</v>
      </c>
      <c r="F4" s="1" t="s">
        <v>24</v>
      </c>
      <c r="G4" s="1" t="s">
        <v>25</v>
      </c>
      <c r="H4" s="2">
        <v>34790</v>
      </c>
      <c r="I4" s="2">
        <v>40511</v>
      </c>
      <c r="J4" s="2" t="s">
        <v>25</v>
      </c>
      <c r="K4" s="3">
        <v>19648</v>
      </c>
      <c r="L4" s="3"/>
      <c r="M4" s="3">
        <v>-19648</v>
      </c>
      <c r="O4" s="1">
        <v>1</v>
      </c>
      <c r="P4" s="1">
        <v>0</v>
      </c>
      <c r="Q4" s="3">
        <v>13579.61</v>
      </c>
      <c r="R4" s="3"/>
      <c r="S4" s="3">
        <v>-33227.61</v>
      </c>
      <c r="T4" s="1">
        <v>14.23014</v>
      </c>
      <c r="U4" s="3"/>
      <c r="V4" s="3"/>
      <c r="X4" s="1">
        <v>-33227.61</v>
      </c>
      <c r="Y4" s="22">
        <v>14.23014</v>
      </c>
      <c r="Z4" s="4">
        <f>Table1[[#This Row],[totalTimeKept]]*$AD$3</f>
        <v>213452.1</v>
      </c>
      <c r="AA4" s="4">
        <f>Y4-Z4</f>
        <v>-213437.86986000001</v>
      </c>
      <c r="AB4" s="8"/>
    </row>
    <row r="5" spans="1:31" x14ac:dyDescent="0.3">
      <c r="A5" s="1">
        <v>2526193</v>
      </c>
      <c r="B5" s="1" t="s">
        <v>30</v>
      </c>
      <c r="C5" s="1" t="s">
        <v>31</v>
      </c>
      <c r="E5" s="1">
        <v>0</v>
      </c>
      <c r="F5" s="1" t="s">
        <v>24</v>
      </c>
      <c r="G5" s="1" t="s">
        <v>24</v>
      </c>
      <c r="H5" s="2">
        <v>35494</v>
      </c>
      <c r="I5" s="2">
        <v>40511</v>
      </c>
      <c r="J5" s="2">
        <v>41680</v>
      </c>
      <c r="K5" s="3">
        <v>245606</v>
      </c>
      <c r="L5" s="3">
        <v>11590</v>
      </c>
      <c r="M5" s="3">
        <v>-234016</v>
      </c>
      <c r="O5" s="1">
        <v>1</v>
      </c>
      <c r="P5" s="1">
        <v>1</v>
      </c>
      <c r="Q5" s="3">
        <v>11612.9</v>
      </c>
      <c r="R5" s="3"/>
      <c r="S5" s="3">
        <v>-245628.9</v>
      </c>
      <c r="T5" s="1">
        <v>3.2027399999999999</v>
      </c>
      <c r="U5" s="3"/>
      <c r="V5" s="3"/>
      <c r="X5" s="1">
        <v>-245628.9</v>
      </c>
      <c r="Y5" s="22">
        <v>3.2027399999999999</v>
      </c>
      <c r="Z5" s="4">
        <f>Table1[[#This Row],[totalTimeKept]]*$AD$3</f>
        <v>48041.1</v>
      </c>
      <c r="AA5" s="4">
        <f>Y5-Z5</f>
        <v>-48037.897259999998</v>
      </c>
    </row>
    <row r="6" spans="1:31" x14ac:dyDescent="0.3">
      <c r="A6" s="1">
        <v>4010723</v>
      </c>
      <c r="B6" s="1" t="s">
        <v>32</v>
      </c>
      <c r="C6" s="1" t="s">
        <v>33</v>
      </c>
      <c r="D6" s="1">
        <v>1233648</v>
      </c>
      <c r="E6" s="1">
        <v>0</v>
      </c>
      <c r="F6" s="1" t="s">
        <v>24</v>
      </c>
      <c r="G6" s="1" t="s">
        <v>25</v>
      </c>
      <c r="H6" s="2">
        <v>34808</v>
      </c>
      <c r="I6" s="2">
        <v>42315</v>
      </c>
      <c r="J6" s="2" t="s">
        <v>25</v>
      </c>
      <c r="K6" s="3">
        <v>60000</v>
      </c>
      <c r="L6" s="3"/>
      <c r="M6" s="3">
        <v>-60000</v>
      </c>
      <c r="O6" s="1">
        <v>1</v>
      </c>
      <c r="P6" s="1">
        <v>0</v>
      </c>
      <c r="Q6" s="3">
        <v>20000</v>
      </c>
      <c r="R6" s="3"/>
      <c r="S6" s="3">
        <v>-80000</v>
      </c>
      <c r="T6" s="1">
        <v>9.2876709999999996</v>
      </c>
      <c r="U6" s="3">
        <v>230000</v>
      </c>
      <c r="V6" s="3">
        <v>0</v>
      </c>
      <c r="W6" s="1">
        <v>1.484931</v>
      </c>
      <c r="X6" s="1">
        <v>150000</v>
      </c>
      <c r="Y6" s="22">
        <v>10.772600000000001</v>
      </c>
      <c r="Z6" s="4">
        <f>Table1[[#This Row],[totalTimeKept]]*$AD$3</f>
        <v>161589</v>
      </c>
      <c r="AA6" s="4">
        <f>Y6-Z6</f>
        <v>-161578.2274</v>
      </c>
    </row>
    <row r="7" spans="1:31" x14ac:dyDescent="0.3">
      <c r="A7" s="1">
        <v>4035517</v>
      </c>
      <c r="B7" s="1" t="s">
        <v>34</v>
      </c>
      <c r="C7" s="1" t="s">
        <v>35</v>
      </c>
      <c r="D7" s="1">
        <v>1218824</v>
      </c>
      <c r="E7" s="1">
        <v>0</v>
      </c>
      <c r="F7" s="1" t="s">
        <v>24</v>
      </c>
      <c r="G7" s="1" t="s">
        <v>25</v>
      </c>
      <c r="H7" s="2">
        <v>35149</v>
      </c>
      <c r="I7" s="2">
        <v>40490</v>
      </c>
      <c r="J7" s="2" t="s">
        <v>25</v>
      </c>
      <c r="K7" s="3">
        <v>250000</v>
      </c>
      <c r="L7" s="3"/>
      <c r="M7" s="3">
        <v>-250000</v>
      </c>
      <c r="O7" s="1">
        <v>1</v>
      </c>
      <c r="P7" s="1">
        <v>0</v>
      </c>
      <c r="Q7" s="3">
        <v>125000</v>
      </c>
      <c r="R7" s="3"/>
      <c r="S7" s="3">
        <v>-375000</v>
      </c>
      <c r="T7" s="1">
        <v>14.28767</v>
      </c>
      <c r="U7" s="3">
        <v>857000</v>
      </c>
      <c r="V7" s="3">
        <v>0</v>
      </c>
      <c r="W7" s="1">
        <v>5.8547950000000002</v>
      </c>
      <c r="X7" s="1">
        <v>482000</v>
      </c>
      <c r="Y7" s="22">
        <v>20.142469999999999</v>
      </c>
      <c r="Z7" s="4">
        <f>Table1[[#This Row],[totalTimeKept]]*$AD$3</f>
        <v>302137.05</v>
      </c>
      <c r="AA7" s="4">
        <f>Y7-Z7</f>
        <v>-302116.90752999997</v>
      </c>
    </row>
    <row r="8" spans="1:31" x14ac:dyDescent="0.3">
      <c r="A8" s="1">
        <v>4038272</v>
      </c>
      <c r="B8" s="1" t="s">
        <v>36</v>
      </c>
      <c r="C8" s="1" t="s">
        <v>37</v>
      </c>
      <c r="D8" s="1">
        <v>1195623</v>
      </c>
      <c r="E8" s="1">
        <v>0</v>
      </c>
      <c r="F8" s="1" t="s">
        <v>24</v>
      </c>
      <c r="G8" s="1" t="s">
        <v>25</v>
      </c>
      <c r="H8" s="2">
        <v>35151</v>
      </c>
      <c r="I8" s="2">
        <v>41223</v>
      </c>
      <c r="J8" s="2" t="s">
        <v>25</v>
      </c>
      <c r="K8" s="3">
        <v>130000</v>
      </c>
      <c r="L8" s="3"/>
      <c r="M8" s="3">
        <v>-130000</v>
      </c>
      <c r="O8" s="1">
        <v>1</v>
      </c>
      <c r="P8" s="1">
        <v>0</v>
      </c>
      <c r="Q8" s="3">
        <v>40000</v>
      </c>
      <c r="R8" s="3"/>
      <c r="S8" s="3">
        <v>-170000</v>
      </c>
      <c r="T8" s="1">
        <v>12.279450000000001</v>
      </c>
      <c r="U8" s="3">
        <v>415000</v>
      </c>
      <c r="V8" s="3">
        <v>0</v>
      </c>
      <c r="W8" s="1">
        <v>3.0712329999999999</v>
      </c>
      <c r="X8" s="1">
        <v>245000</v>
      </c>
      <c r="Y8" s="22">
        <v>15.35069</v>
      </c>
      <c r="Z8" s="4">
        <f>Table1[[#This Row],[totalTimeKept]]*$AD$3</f>
        <v>230260.35</v>
      </c>
      <c r="AA8" s="4">
        <f>Y8-Z8</f>
        <v>-230244.99931000001</v>
      </c>
      <c r="AC8" s="16" t="s">
        <v>1527</v>
      </c>
      <c r="AD8" s="16"/>
      <c r="AE8" s="6" t="s">
        <v>1529</v>
      </c>
    </row>
    <row r="9" spans="1:31" x14ac:dyDescent="0.3">
      <c r="A9" s="1">
        <v>4057138</v>
      </c>
      <c r="B9" s="1" t="s">
        <v>38</v>
      </c>
      <c r="C9" s="1" t="s">
        <v>39</v>
      </c>
      <c r="D9" s="1">
        <v>1042758</v>
      </c>
      <c r="E9" s="1">
        <v>0</v>
      </c>
      <c r="F9" s="1" t="s">
        <v>24</v>
      </c>
      <c r="G9" s="1" t="s">
        <v>25</v>
      </c>
      <c r="H9" s="2">
        <v>35176</v>
      </c>
      <c r="I9" s="2">
        <v>40490</v>
      </c>
      <c r="J9" s="2" t="s">
        <v>25</v>
      </c>
      <c r="K9" s="3">
        <v>200000</v>
      </c>
      <c r="L9" s="3"/>
      <c r="M9" s="3">
        <v>-200000</v>
      </c>
      <c r="O9" s="1">
        <v>1</v>
      </c>
      <c r="P9" s="1">
        <v>0</v>
      </c>
      <c r="Q9" s="3">
        <v>37500</v>
      </c>
      <c r="R9" s="3"/>
      <c r="S9" s="3">
        <v>-237500</v>
      </c>
      <c r="T9" s="1">
        <v>14.28767</v>
      </c>
      <c r="U9" s="3">
        <v>237000</v>
      </c>
      <c r="V9" s="3">
        <v>0</v>
      </c>
      <c r="W9" s="1">
        <v>2.7260270000000002</v>
      </c>
      <c r="X9" s="1">
        <v>-500</v>
      </c>
      <c r="Y9" s="22">
        <v>17.0137</v>
      </c>
      <c r="Z9" s="4">
        <f>Table1[[#This Row],[totalTimeKept]]*$AD$3</f>
        <v>255205.5</v>
      </c>
      <c r="AA9" s="4">
        <f>Y9-Z9</f>
        <v>-255188.48629999999</v>
      </c>
      <c r="AC9" t="s">
        <v>24</v>
      </c>
      <c r="AD9" s="4">
        <f>SUMIF($F$2:$F$970,AC9,$AA$2:$AA$970)</f>
        <v>-20854240.638099093</v>
      </c>
      <c r="AE9" s="7">
        <f>SUMIF($F$2:$F$970,AC9,$O$2:$O$970)</f>
        <v>169</v>
      </c>
    </row>
    <row r="10" spans="1:31" x14ac:dyDescent="0.3">
      <c r="A10" s="1">
        <v>4297755</v>
      </c>
      <c r="B10" s="1" t="s">
        <v>40</v>
      </c>
      <c r="C10" s="1" t="s">
        <v>41</v>
      </c>
      <c r="D10" s="1">
        <v>1310104</v>
      </c>
      <c r="E10" s="1">
        <v>0</v>
      </c>
      <c r="F10" s="1" t="s">
        <v>24</v>
      </c>
      <c r="G10" s="1" t="s">
        <v>25</v>
      </c>
      <c r="H10" s="2">
        <v>35485</v>
      </c>
      <c r="I10" s="2">
        <v>41218</v>
      </c>
      <c r="J10" s="2" t="s">
        <v>25</v>
      </c>
      <c r="K10" s="3">
        <v>75000</v>
      </c>
      <c r="L10" s="3"/>
      <c r="M10" s="3">
        <v>-75000</v>
      </c>
      <c r="O10" s="1">
        <v>1</v>
      </c>
      <c r="P10" s="1">
        <v>0</v>
      </c>
      <c r="Q10" s="3">
        <v>182500</v>
      </c>
      <c r="R10" s="3"/>
      <c r="S10" s="3">
        <v>-257500</v>
      </c>
      <c r="T10" s="1">
        <v>12.293150000000001</v>
      </c>
      <c r="U10" s="3">
        <v>1225329</v>
      </c>
      <c r="V10" s="3">
        <v>173481.5</v>
      </c>
      <c r="W10" s="1">
        <v>17.16986</v>
      </c>
      <c r="X10" s="1">
        <v>967828.5</v>
      </c>
      <c r="Y10" s="22">
        <v>29.463010000000001</v>
      </c>
      <c r="Z10" s="4">
        <f>Table1[[#This Row],[totalTimeKept]]*$AD$3</f>
        <v>441945.15</v>
      </c>
      <c r="AA10" s="4">
        <f>Y10-Z10</f>
        <v>-441915.68699000002</v>
      </c>
      <c r="AC10" t="s">
        <v>46</v>
      </c>
      <c r="AD10" s="4">
        <f>SUMIF($F$2:$F$970,AC10,$AA$2:$AA$970)</f>
        <v>-8017273.8824398005</v>
      </c>
      <c r="AE10" s="7">
        <f t="shared" ref="AE10:AE13" si="0">SUMIF($F$2:$F$970,AC10,$O$2:$O$970)</f>
        <v>181</v>
      </c>
    </row>
    <row r="11" spans="1:31" x14ac:dyDescent="0.3">
      <c r="A11" s="1">
        <v>4351699</v>
      </c>
      <c r="B11" s="1" t="s">
        <v>42</v>
      </c>
      <c r="C11" s="1" t="s">
        <v>43</v>
      </c>
      <c r="D11" s="1">
        <v>1275019</v>
      </c>
      <c r="E11" s="1">
        <v>0</v>
      </c>
      <c r="F11" s="1" t="s">
        <v>24</v>
      </c>
      <c r="G11" s="1" t="s">
        <v>25</v>
      </c>
      <c r="H11" s="2">
        <v>35572</v>
      </c>
      <c r="I11" s="2">
        <v>41949</v>
      </c>
      <c r="J11" s="2" t="s">
        <v>25</v>
      </c>
      <c r="K11" s="3">
        <v>190000</v>
      </c>
      <c r="L11" s="3"/>
      <c r="M11" s="3">
        <v>-190000</v>
      </c>
      <c r="O11" s="1">
        <v>1</v>
      </c>
      <c r="P11" s="1">
        <v>0</v>
      </c>
      <c r="Q11" s="3">
        <v>52500</v>
      </c>
      <c r="R11" s="3"/>
      <c r="S11" s="3">
        <v>-242500</v>
      </c>
      <c r="T11" s="1">
        <v>10.29041</v>
      </c>
      <c r="U11" s="3">
        <v>110000</v>
      </c>
      <c r="V11" s="3">
        <v>0</v>
      </c>
      <c r="W11" s="1">
        <v>1.9452050000000001</v>
      </c>
      <c r="X11" s="1">
        <v>-132500</v>
      </c>
      <c r="Y11" s="22">
        <v>12.235620000000001</v>
      </c>
      <c r="Z11" s="4">
        <f>Table1[[#This Row],[totalTimeKept]]*$AD$3</f>
        <v>183534.30000000002</v>
      </c>
      <c r="AA11" s="4">
        <f>Y11-Z11</f>
        <v>-183522.06438000003</v>
      </c>
      <c r="AC11" t="s">
        <v>1528</v>
      </c>
      <c r="AD11" s="4">
        <f>SUMIF($F$2:$F$970,AC11,$AA$2:$AA$970)</f>
        <v>-7297855.8978364002</v>
      </c>
      <c r="AE11" s="7">
        <f t="shared" si="0"/>
        <v>101</v>
      </c>
    </row>
    <row r="12" spans="1:31" x14ac:dyDescent="0.3">
      <c r="A12" s="1">
        <v>4391923</v>
      </c>
      <c r="B12" s="1" t="s">
        <v>44</v>
      </c>
      <c r="C12" s="1" t="s">
        <v>45</v>
      </c>
      <c r="D12" s="1">
        <v>914717</v>
      </c>
      <c r="E12" s="1">
        <v>0</v>
      </c>
      <c r="F12" s="1" t="s">
        <v>46</v>
      </c>
      <c r="G12" s="1" t="s">
        <v>46</v>
      </c>
      <c r="H12" s="2">
        <v>35495</v>
      </c>
      <c r="I12" s="2">
        <v>35816</v>
      </c>
      <c r="J12" s="2">
        <v>36094</v>
      </c>
      <c r="K12" s="3">
        <v>8500</v>
      </c>
      <c r="L12" s="3">
        <v>7000</v>
      </c>
      <c r="M12" s="3">
        <v>-1500</v>
      </c>
      <c r="O12" s="1">
        <v>1</v>
      </c>
      <c r="P12" s="1">
        <v>1</v>
      </c>
      <c r="Q12" s="3"/>
      <c r="R12" s="3"/>
      <c r="S12" s="3">
        <v>-1500</v>
      </c>
      <c r="T12" s="1">
        <v>0.76164379999999998</v>
      </c>
      <c r="U12" s="3"/>
      <c r="V12" s="3"/>
      <c r="X12" s="1">
        <v>-1500</v>
      </c>
      <c r="Y12" s="22">
        <v>0.76164379999999998</v>
      </c>
      <c r="Z12" s="4">
        <f>Table1[[#This Row],[totalTimeKept]]*$AD$3</f>
        <v>11424.656999999999</v>
      </c>
      <c r="AA12" s="4">
        <f>Y12-Z12</f>
        <v>-11423.895356199999</v>
      </c>
      <c r="AC12" t="s">
        <v>292</v>
      </c>
      <c r="AD12" s="4">
        <f>SUMIF($F$2:$F$970,AC12,$AA$2:$AA$970)</f>
        <v>-495912.14698600001</v>
      </c>
      <c r="AE12" s="7">
        <f t="shared" si="0"/>
        <v>4</v>
      </c>
    </row>
    <row r="13" spans="1:31" x14ac:dyDescent="0.3">
      <c r="A13" s="1">
        <v>4494884</v>
      </c>
      <c r="B13" s="1" t="s">
        <v>47</v>
      </c>
      <c r="C13" s="1" t="s">
        <v>48</v>
      </c>
      <c r="E13" s="1">
        <v>0</v>
      </c>
      <c r="F13" s="1" t="s">
        <v>24</v>
      </c>
      <c r="G13" s="1" t="s">
        <v>25</v>
      </c>
      <c r="H13" s="2">
        <v>35846</v>
      </c>
      <c r="I13" s="2">
        <v>41948</v>
      </c>
      <c r="J13" s="2" t="s">
        <v>25</v>
      </c>
      <c r="K13" s="3">
        <v>285000</v>
      </c>
      <c r="L13" s="3"/>
      <c r="M13" s="3">
        <v>-285000</v>
      </c>
      <c r="O13" s="1">
        <v>1</v>
      </c>
      <c r="P13" s="1">
        <v>0</v>
      </c>
      <c r="Q13" s="3">
        <v>281018.5</v>
      </c>
      <c r="R13" s="3"/>
      <c r="S13" s="3">
        <v>-566018.5</v>
      </c>
      <c r="T13" s="1">
        <v>10.293150000000001</v>
      </c>
      <c r="U13" s="3">
        <v>-570000</v>
      </c>
      <c r="V13" s="3">
        <v>202500</v>
      </c>
      <c r="W13" s="1">
        <v>17.293150000000001</v>
      </c>
      <c r="X13" s="1">
        <v>-1136019</v>
      </c>
      <c r="Y13" s="22">
        <v>27.586300000000001</v>
      </c>
      <c r="Z13" s="4">
        <f>Table1[[#This Row],[totalTimeKept]]*$AD$3</f>
        <v>413794.5</v>
      </c>
      <c r="AA13" s="4">
        <f>Y13-Z13</f>
        <v>-413766.91369999998</v>
      </c>
      <c r="AC13" t="s">
        <v>349</v>
      </c>
      <c r="AD13" s="4">
        <f>SUMIF($F$2:$F$970,AC13,$AA$2:$AA$970)</f>
        <v>-257941.69974019998</v>
      </c>
      <c r="AE13" s="7">
        <f t="shared" si="0"/>
        <v>4</v>
      </c>
    </row>
    <row r="14" spans="1:31" x14ac:dyDescent="0.3">
      <c r="A14" s="1">
        <v>4495846</v>
      </c>
      <c r="B14" s="1" t="s">
        <v>49</v>
      </c>
      <c r="C14" s="1" t="s">
        <v>50</v>
      </c>
      <c r="D14" s="1">
        <v>1055552</v>
      </c>
      <c r="E14" s="1">
        <v>0</v>
      </c>
      <c r="F14" s="1" t="s">
        <v>24</v>
      </c>
      <c r="G14" s="1" t="s">
        <v>25</v>
      </c>
      <c r="H14" s="2">
        <v>35908</v>
      </c>
      <c r="I14" s="2">
        <v>41582</v>
      </c>
      <c r="J14" s="2" t="s">
        <v>25</v>
      </c>
      <c r="K14" s="3">
        <v>210000</v>
      </c>
      <c r="L14" s="3"/>
      <c r="M14" s="3">
        <v>-210000</v>
      </c>
      <c r="O14" s="1">
        <v>1</v>
      </c>
      <c r="P14" s="1">
        <v>0</v>
      </c>
      <c r="Q14" s="3">
        <v>72500</v>
      </c>
      <c r="R14" s="3"/>
      <c r="S14" s="3">
        <v>-282500</v>
      </c>
      <c r="T14" s="1">
        <v>11.29589</v>
      </c>
      <c r="U14" s="3">
        <v>12000</v>
      </c>
      <c r="V14" s="3">
        <v>0</v>
      </c>
      <c r="W14" s="1">
        <v>1.4054789999999999</v>
      </c>
      <c r="X14" s="1">
        <v>-270500</v>
      </c>
      <c r="Y14" s="22">
        <v>12.701370000000001</v>
      </c>
      <c r="Z14" s="4">
        <f>Table1[[#This Row],[totalTimeKept]]*$AD$3</f>
        <v>190520.55000000002</v>
      </c>
      <c r="AA14" s="4">
        <f>Y14-Z14</f>
        <v>-190507.84863000002</v>
      </c>
    </row>
    <row r="15" spans="1:31" x14ac:dyDescent="0.3">
      <c r="A15" s="1">
        <v>4508626</v>
      </c>
      <c r="B15" s="1" t="s">
        <v>51</v>
      </c>
      <c r="C15" s="1" t="s">
        <v>52</v>
      </c>
      <c r="D15" s="1">
        <v>1247150</v>
      </c>
      <c r="E15" s="1">
        <v>0</v>
      </c>
      <c r="F15" s="1" t="s">
        <v>24</v>
      </c>
      <c r="G15" s="1" t="s">
        <v>25</v>
      </c>
      <c r="H15" s="2">
        <v>35935</v>
      </c>
      <c r="I15" s="2">
        <v>41947</v>
      </c>
      <c r="J15" s="2" t="s">
        <v>25</v>
      </c>
      <c r="K15" s="3">
        <v>115000</v>
      </c>
      <c r="L15" s="3"/>
      <c r="M15" s="3">
        <v>-115000</v>
      </c>
      <c r="O15" s="1">
        <v>1</v>
      </c>
      <c r="P15" s="1">
        <v>0</v>
      </c>
      <c r="Q15" s="3">
        <v>50000</v>
      </c>
      <c r="R15" s="3"/>
      <c r="S15" s="3">
        <v>-165000</v>
      </c>
      <c r="T15" s="1">
        <v>10.29589</v>
      </c>
      <c r="U15" s="3"/>
      <c r="V15" s="3"/>
      <c r="X15" s="1">
        <v>-165000</v>
      </c>
      <c r="Y15" s="22">
        <v>10.29589</v>
      </c>
      <c r="Z15" s="4">
        <f>Table1[[#This Row],[totalTimeKept]]*$AD$3</f>
        <v>154438.35</v>
      </c>
      <c r="AA15" s="4">
        <f>Y15-Z15</f>
        <v>-154428.05411</v>
      </c>
      <c r="AC15" t="s">
        <v>1526</v>
      </c>
      <c r="AD15" s="5">
        <f>SUM(AD9:AD13)</f>
        <v>-36923224.265101492</v>
      </c>
    </row>
    <row r="16" spans="1:31" x14ac:dyDescent="0.3">
      <c r="A16" s="1">
        <v>4530465</v>
      </c>
      <c r="B16" s="1" t="s">
        <v>53</v>
      </c>
      <c r="C16" s="1" t="s">
        <v>54</v>
      </c>
      <c r="D16" s="1">
        <v>845011</v>
      </c>
      <c r="E16" s="1">
        <v>0</v>
      </c>
      <c r="F16" s="1" t="s">
        <v>24</v>
      </c>
      <c r="G16" s="1" t="s">
        <v>25</v>
      </c>
      <c r="H16" s="2">
        <v>35924</v>
      </c>
      <c r="I16" s="2">
        <v>40490</v>
      </c>
      <c r="J16" s="2" t="s">
        <v>25</v>
      </c>
      <c r="K16" s="3">
        <v>80000</v>
      </c>
      <c r="L16" s="3"/>
      <c r="M16" s="3">
        <v>-80000</v>
      </c>
      <c r="O16" s="1">
        <v>1</v>
      </c>
      <c r="P16" s="1">
        <v>0</v>
      </c>
      <c r="Q16" s="3">
        <v>227500</v>
      </c>
      <c r="R16" s="3"/>
      <c r="S16" s="3">
        <v>-307500</v>
      </c>
      <c r="T16" s="1">
        <v>14.28767</v>
      </c>
      <c r="U16" s="3">
        <v>439250</v>
      </c>
      <c r="V16" s="3">
        <v>0</v>
      </c>
      <c r="W16" s="1">
        <v>9.8493150000000007</v>
      </c>
      <c r="X16" s="1">
        <v>131750</v>
      </c>
      <c r="Y16" s="22">
        <v>24.136990000000001</v>
      </c>
      <c r="Z16" s="4">
        <f>Table1[[#This Row],[totalTimeKept]]*$AD$3</f>
        <v>362054.85000000003</v>
      </c>
      <c r="AA16" s="4">
        <f>Y16-Z16</f>
        <v>-362030.71301000001</v>
      </c>
    </row>
    <row r="17" spans="1:31" x14ac:dyDescent="0.3">
      <c r="A17" s="1">
        <v>4611767</v>
      </c>
      <c r="B17" s="1" t="s">
        <v>55</v>
      </c>
      <c r="C17" s="1" t="s">
        <v>56</v>
      </c>
      <c r="D17" s="1">
        <v>1172838</v>
      </c>
      <c r="E17" s="1">
        <v>0</v>
      </c>
      <c r="F17" s="1" t="s">
        <v>24</v>
      </c>
      <c r="G17" s="1" t="s">
        <v>24</v>
      </c>
      <c r="H17" s="2">
        <v>36188</v>
      </c>
      <c r="I17" s="2">
        <v>41587</v>
      </c>
      <c r="J17" s="2">
        <v>41952</v>
      </c>
      <c r="K17" s="3">
        <v>25000</v>
      </c>
      <c r="L17" s="3">
        <v>30000</v>
      </c>
      <c r="M17" s="3">
        <v>5000</v>
      </c>
      <c r="O17" s="1">
        <v>1</v>
      </c>
      <c r="P17" s="1">
        <v>1</v>
      </c>
      <c r="Q17" s="3">
        <v>0</v>
      </c>
      <c r="R17" s="3"/>
      <c r="S17" s="3">
        <v>5000</v>
      </c>
      <c r="T17" s="1">
        <v>1</v>
      </c>
      <c r="U17" s="3"/>
      <c r="V17" s="3"/>
      <c r="X17" s="1">
        <v>5000</v>
      </c>
      <c r="Y17" s="22">
        <v>1</v>
      </c>
      <c r="Z17" s="4">
        <f>Table1[[#This Row],[totalTimeKept]]*$AD$3</f>
        <v>15000</v>
      </c>
      <c r="AA17" s="4">
        <f>Y17-Z17</f>
        <v>-14999</v>
      </c>
      <c r="AC17" s="6" t="s">
        <v>1530</v>
      </c>
      <c r="AD17" s="6">
        <v>2018</v>
      </c>
    </row>
    <row r="18" spans="1:31" x14ac:dyDescent="0.3">
      <c r="A18" s="1">
        <v>4630395</v>
      </c>
      <c r="B18" s="1" t="s">
        <v>57</v>
      </c>
      <c r="C18" s="1" t="s">
        <v>58</v>
      </c>
      <c r="D18" s="1">
        <v>1103638</v>
      </c>
      <c r="E18" s="1">
        <v>0</v>
      </c>
      <c r="F18" s="1" t="s">
        <v>24</v>
      </c>
      <c r="G18" s="1" t="s">
        <v>25</v>
      </c>
      <c r="H18" s="2">
        <v>36205</v>
      </c>
      <c r="I18" s="2">
        <v>43411</v>
      </c>
      <c r="J18" s="2" t="s">
        <v>25</v>
      </c>
      <c r="K18" s="3">
        <v>40000</v>
      </c>
      <c r="L18" s="3"/>
      <c r="M18" s="3">
        <v>-40000</v>
      </c>
      <c r="O18" s="1">
        <v>1</v>
      </c>
      <c r="P18" s="1">
        <v>0</v>
      </c>
      <c r="Q18" s="3">
        <v>37500</v>
      </c>
      <c r="R18" s="3"/>
      <c r="S18" s="3">
        <v>-77500</v>
      </c>
      <c r="T18" s="1">
        <v>6.2849320000000004</v>
      </c>
      <c r="U18" s="3">
        <v>625000</v>
      </c>
      <c r="V18" s="3">
        <v>0</v>
      </c>
      <c r="W18" s="1">
        <v>2.7013699999999998</v>
      </c>
      <c r="X18" s="1">
        <v>547500</v>
      </c>
      <c r="Y18" s="22">
        <v>8.9863009999999992</v>
      </c>
      <c r="Z18" s="4">
        <f>Table1[[#This Row],[totalTimeKept]]*$AD$3</f>
        <v>134794.51499999998</v>
      </c>
      <c r="AA18" s="4">
        <f>Y18-Z18</f>
        <v>-134785.52869899999</v>
      </c>
      <c r="AC18" s="16" t="s">
        <v>1527</v>
      </c>
      <c r="AD18" s="16"/>
      <c r="AE18" s="6" t="s">
        <v>1529</v>
      </c>
    </row>
    <row r="19" spans="1:31" x14ac:dyDescent="0.3">
      <c r="A19" s="1">
        <v>4670644</v>
      </c>
      <c r="B19" s="1" t="s">
        <v>59</v>
      </c>
      <c r="C19" s="1" t="s">
        <v>60</v>
      </c>
      <c r="D19" s="1">
        <v>1279296</v>
      </c>
      <c r="E19" s="1">
        <v>0</v>
      </c>
      <c r="F19" s="1" t="s">
        <v>24</v>
      </c>
      <c r="G19" s="1" t="s">
        <v>25</v>
      </c>
      <c r="H19" s="2">
        <v>35473</v>
      </c>
      <c r="I19" s="2">
        <v>40516</v>
      </c>
      <c r="J19" s="2" t="s">
        <v>25</v>
      </c>
      <c r="K19" s="3">
        <v>482796</v>
      </c>
      <c r="L19" s="3"/>
      <c r="M19" s="3">
        <v>-482796</v>
      </c>
      <c r="O19" s="1">
        <v>1</v>
      </c>
      <c r="P19" s="1">
        <v>0</v>
      </c>
      <c r="Q19" s="3">
        <v>43205.52</v>
      </c>
      <c r="R19" s="3"/>
      <c r="S19" s="3">
        <v>-526001.5</v>
      </c>
      <c r="T19" s="1">
        <v>14.21644</v>
      </c>
      <c r="U19" s="3">
        <v>332000</v>
      </c>
      <c r="V19" s="3">
        <v>0</v>
      </c>
      <c r="W19" s="1">
        <v>4.2849310000000003</v>
      </c>
      <c r="X19" s="1">
        <v>-194001.5</v>
      </c>
      <c r="Y19" s="22">
        <v>18.501370000000001</v>
      </c>
      <c r="Z19" s="4">
        <f>Table1[[#This Row],[totalTimeKept]]*$AD$3</f>
        <v>277520.55000000005</v>
      </c>
      <c r="AA19" s="4">
        <f>Y19-Z19</f>
        <v>-277502.04863000003</v>
      </c>
      <c r="AC19" t="s">
        <v>24</v>
      </c>
      <c r="AD19" s="4">
        <f>SUMIFS($AA$2:$AA$970,$F$2:$F$970,AC19,$I$2:$I$970, "&lt;"&amp;DATE($AD$17,1,1))</f>
        <v>-16589552.378105199</v>
      </c>
      <c r="AE19" s="7">
        <f>SUMIFS($O$2:$O$970,$F$2:$F$970,AC19,$I$2:$I$970, "&lt;"&amp;DATE($AD$17,1,1))</f>
        <v>115</v>
      </c>
    </row>
    <row r="20" spans="1:31" x14ac:dyDescent="0.3">
      <c r="A20" s="1">
        <v>4830628</v>
      </c>
      <c r="B20" s="1" t="s">
        <v>61</v>
      </c>
      <c r="C20" s="1" t="s">
        <v>62</v>
      </c>
      <c r="D20" s="1">
        <v>1269994</v>
      </c>
      <c r="E20" s="1">
        <v>0</v>
      </c>
      <c r="F20" s="1" t="s">
        <v>24</v>
      </c>
      <c r="G20" s="1" t="s">
        <v>24</v>
      </c>
      <c r="H20" s="2">
        <v>36267</v>
      </c>
      <c r="I20" s="2">
        <v>40496</v>
      </c>
      <c r="J20" s="2">
        <v>41588</v>
      </c>
      <c r="K20" s="3">
        <v>210000</v>
      </c>
      <c r="L20" s="3">
        <v>42000</v>
      </c>
      <c r="M20" s="3">
        <v>-168000</v>
      </c>
      <c r="O20" s="1">
        <v>1</v>
      </c>
      <c r="P20" s="1">
        <v>1</v>
      </c>
      <c r="Q20" s="3">
        <v>35000</v>
      </c>
      <c r="R20" s="3"/>
      <c r="S20" s="3">
        <v>-203000</v>
      </c>
      <c r="T20" s="1">
        <v>2.991781</v>
      </c>
      <c r="U20" s="3">
        <v>311053</v>
      </c>
      <c r="V20" s="3">
        <v>0</v>
      </c>
      <c r="W20" s="1">
        <v>3.432877</v>
      </c>
      <c r="X20" s="1">
        <v>108053</v>
      </c>
      <c r="Y20" s="22">
        <v>6.4246569999999998</v>
      </c>
      <c r="Z20" s="4">
        <f>Table1[[#This Row],[totalTimeKept]]*$AD$3</f>
        <v>96369.854999999996</v>
      </c>
      <c r="AA20" s="4">
        <f>Y20-Z20</f>
        <v>-96363.430343</v>
      </c>
      <c r="AC20" t="s">
        <v>46</v>
      </c>
      <c r="AD20" s="4">
        <f>SUMIFS($AA$2:$AA$970,$F$2:$F$970,AC20,$I$2:$I$970, "&lt;"&amp;DATE($AD$17,1,1))</f>
        <v>-1248204.5678142002</v>
      </c>
      <c r="AE20" s="7">
        <f>SUMIFS($O$2:$O$970,$F$2:$F$970,AC20,$I$2:$I$970, "&lt;"&amp;DATE($AD$17,1,1))</f>
        <v>14</v>
      </c>
    </row>
    <row r="21" spans="1:31" x14ac:dyDescent="0.3">
      <c r="A21" s="1">
        <v>5014355</v>
      </c>
      <c r="B21" s="1" t="s">
        <v>63</v>
      </c>
      <c r="C21" s="1" t="s">
        <v>64</v>
      </c>
      <c r="D21" s="1">
        <v>1316037</v>
      </c>
      <c r="E21" s="1">
        <v>0</v>
      </c>
      <c r="F21" s="1" t="s">
        <v>24</v>
      </c>
      <c r="G21" s="1" t="s">
        <v>25</v>
      </c>
      <c r="H21" s="2">
        <v>36278</v>
      </c>
      <c r="I21" s="2">
        <v>41948</v>
      </c>
      <c r="J21" s="2" t="s">
        <v>25</v>
      </c>
      <c r="K21" s="3">
        <v>340000</v>
      </c>
      <c r="L21" s="3"/>
      <c r="M21" s="3">
        <v>-340000</v>
      </c>
      <c r="O21" s="1">
        <v>1</v>
      </c>
      <c r="P21" s="1">
        <v>0</v>
      </c>
      <c r="Q21" s="3">
        <v>165000</v>
      </c>
      <c r="R21" s="3"/>
      <c r="S21" s="3">
        <v>-505000</v>
      </c>
      <c r="T21" s="1">
        <v>10.293150000000001</v>
      </c>
      <c r="U21" s="3">
        <v>454600</v>
      </c>
      <c r="V21" s="3">
        <v>150000</v>
      </c>
      <c r="W21" s="1">
        <v>5.5561639999999999</v>
      </c>
      <c r="X21" s="1">
        <v>-50400</v>
      </c>
      <c r="Y21" s="22">
        <v>15.849320000000001</v>
      </c>
      <c r="Z21" s="4">
        <f>Table1[[#This Row],[totalTimeKept]]*$AD$3</f>
        <v>237739.80000000002</v>
      </c>
      <c r="AA21" s="4">
        <f>Y21-Z21</f>
        <v>-237723.95068000001</v>
      </c>
      <c r="AC21" t="s">
        <v>1528</v>
      </c>
      <c r="AD21" s="4">
        <f>SUMIFS($AA$2:$AA$970,$F$2:$F$970,AC21,$I$2:$I$970, "&lt;"&amp;DATE($AD$17,1,1))</f>
        <v>-5807859.388059698</v>
      </c>
      <c r="AE21" s="7">
        <f>SUMIFS($O$2:$O$970,$F$2:$F$970,AC21,$I$2:$I$970, "&lt;"&amp;DATE($AD$17,1,1))</f>
        <v>69</v>
      </c>
    </row>
    <row r="22" spans="1:31" x14ac:dyDescent="0.3">
      <c r="A22" s="1">
        <v>5017307</v>
      </c>
      <c r="B22" s="1" t="s">
        <v>65</v>
      </c>
      <c r="C22" s="1" t="s">
        <v>66</v>
      </c>
      <c r="D22" s="1">
        <v>1375328</v>
      </c>
      <c r="E22" s="1">
        <v>0</v>
      </c>
      <c r="F22" s="1" t="s">
        <v>24</v>
      </c>
      <c r="G22" s="1" t="s">
        <v>25</v>
      </c>
      <c r="H22" s="2">
        <v>36262</v>
      </c>
      <c r="I22" s="2">
        <v>41679</v>
      </c>
      <c r="J22" s="1" t="s">
        <v>25</v>
      </c>
      <c r="K22" s="3">
        <v>200000</v>
      </c>
      <c r="L22" s="3"/>
      <c r="M22" s="3">
        <v>-200000</v>
      </c>
      <c r="O22" s="1">
        <v>1</v>
      </c>
      <c r="P22" s="1">
        <v>0</v>
      </c>
      <c r="Q22" s="3">
        <v>15000</v>
      </c>
      <c r="R22" s="3"/>
      <c r="S22" s="3">
        <v>-215000</v>
      </c>
      <c r="T22" s="1">
        <v>11.030139999999999</v>
      </c>
      <c r="U22" s="3">
        <v>27500</v>
      </c>
      <c r="V22" s="3">
        <v>0</v>
      </c>
      <c r="W22" s="1">
        <v>2.5068489999999999</v>
      </c>
      <c r="X22" s="1">
        <v>-187500</v>
      </c>
      <c r="Y22" s="22">
        <v>13.536989999999999</v>
      </c>
      <c r="Z22" s="4">
        <f>Table1[[#This Row],[totalTimeKept]]*$AD$3</f>
        <v>203054.84999999998</v>
      </c>
      <c r="AA22" s="4">
        <f>Y22-Z22</f>
        <v>-203041.31300999998</v>
      </c>
      <c r="AC22" t="s">
        <v>292</v>
      </c>
      <c r="AD22" s="4">
        <f>SUMIFS($AA$2:$AA$970,$F$2:$F$970,AC22,$I$2:$I$970, "&lt;"&amp;DATE($AD$17,1,1))</f>
        <v>-495912.14698600001</v>
      </c>
      <c r="AE22" s="7">
        <f>SUMIFS($O$2:$O$970,$F$2:$F$970,AC22,$I$2:$I$970, "&lt;"&amp;DATE($AD$17,1,1))</f>
        <v>4</v>
      </c>
    </row>
    <row r="23" spans="1:31" x14ac:dyDescent="0.3">
      <c r="A23" s="1">
        <v>5192419</v>
      </c>
      <c r="B23" s="1" t="s">
        <v>67</v>
      </c>
      <c r="C23" s="1" t="s">
        <v>68</v>
      </c>
      <c r="D23" s="1">
        <v>1273466</v>
      </c>
      <c r="E23" s="1">
        <v>0</v>
      </c>
      <c r="F23" s="1" t="s">
        <v>24</v>
      </c>
      <c r="G23" s="1" t="s">
        <v>25</v>
      </c>
      <c r="H23" s="2">
        <v>36526</v>
      </c>
      <c r="I23" s="2">
        <v>40492</v>
      </c>
      <c r="J23" s="2" t="s">
        <v>25</v>
      </c>
      <c r="K23" s="3">
        <v>230000</v>
      </c>
      <c r="L23" s="3"/>
      <c r="M23" s="3">
        <v>-230000</v>
      </c>
      <c r="N23" s="1">
        <v>0</v>
      </c>
      <c r="O23" s="1">
        <v>1</v>
      </c>
      <c r="P23" s="1">
        <v>0</v>
      </c>
      <c r="Q23" s="3">
        <v>85000</v>
      </c>
      <c r="R23" s="3"/>
      <c r="S23" s="3">
        <v>-315000</v>
      </c>
      <c r="T23" s="1">
        <v>14.28219</v>
      </c>
      <c r="U23" s="3">
        <v>495000</v>
      </c>
      <c r="V23" s="3">
        <v>0</v>
      </c>
      <c r="W23" s="1">
        <v>4.1726029999999996</v>
      </c>
      <c r="X23" s="1">
        <v>180000</v>
      </c>
      <c r="Y23" s="22">
        <v>18.454799999999999</v>
      </c>
      <c r="Z23" s="4">
        <f>Table1[[#This Row],[totalTimeKept]]*$AD$3</f>
        <v>276822</v>
      </c>
      <c r="AA23" s="4">
        <f>Y23-Z23</f>
        <v>-276803.54519999999</v>
      </c>
      <c r="AC23" t="s">
        <v>349</v>
      </c>
      <c r="AD23" s="4">
        <f>SUMIFS($AA$2:$AA$970,$F$2:$F$970,AC23,$I$2:$I$970, "&lt;"&amp;DATE($AD$17,1,1))</f>
        <v>-257941.69974019998</v>
      </c>
      <c r="AE23" s="7">
        <f>SUMIFS($O$2:$O$970,$F$2:$F$970,AC23,$I$2:$I$970, "&lt;"&amp;DATE($AD$17,1,1))</f>
        <v>4</v>
      </c>
    </row>
    <row r="24" spans="1:31" x14ac:dyDescent="0.3">
      <c r="A24" s="1">
        <v>5210668</v>
      </c>
      <c r="B24" s="1" t="s">
        <v>69</v>
      </c>
      <c r="C24" s="1" t="s">
        <v>70</v>
      </c>
      <c r="D24" s="1">
        <v>1354308</v>
      </c>
      <c r="E24" s="1">
        <v>0</v>
      </c>
      <c r="F24" s="1" t="s">
        <v>24</v>
      </c>
      <c r="G24" s="1" t="s">
        <v>25</v>
      </c>
      <c r="H24" s="2">
        <v>36565</v>
      </c>
      <c r="I24" s="2">
        <v>40918</v>
      </c>
      <c r="J24" s="1" t="s">
        <v>25</v>
      </c>
      <c r="K24" s="3">
        <v>225000</v>
      </c>
      <c r="L24" s="3"/>
      <c r="M24" s="3">
        <v>-225000</v>
      </c>
      <c r="N24" s="1">
        <v>0</v>
      </c>
      <c r="O24" s="1">
        <v>1</v>
      </c>
      <c r="P24" s="1">
        <v>0</v>
      </c>
      <c r="Q24" s="3">
        <v>15000</v>
      </c>
      <c r="R24" s="3"/>
      <c r="S24" s="3">
        <v>-240000</v>
      </c>
      <c r="T24" s="1">
        <v>13.115069999999999</v>
      </c>
      <c r="U24" s="3">
        <v>58000</v>
      </c>
      <c r="V24" s="3">
        <v>0</v>
      </c>
      <c r="W24" s="1">
        <v>2.2767119999999998</v>
      </c>
      <c r="X24" s="1">
        <v>-182000</v>
      </c>
      <c r="Y24" s="22">
        <v>15.391780000000001</v>
      </c>
      <c r="Z24" s="4">
        <f>Table1[[#This Row],[totalTimeKept]]*$AD$3</f>
        <v>230876.7</v>
      </c>
      <c r="AA24" s="4">
        <f>Y24-Z24</f>
        <v>-230861.30822000001</v>
      </c>
    </row>
    <row r="25" spans="1:31" x14ac:dyDescent="0.3">
      <c r="A25" s="1">
        <v>5309891</v>
      </c>
      <c r="B25" s="1" t="s">
        <v>71</v>
      </c>
      <c r="C25" s="1" t="s">
        <v>72</v>
      </c>
      <c r="D25" s="1">
        <v>1401579</v>
      </c>
      <c r="E25" s="1">
        <v>0</v>
      </c>
      <c r="F25" s="1" t="s">
        <v>24</v>
      </c>
      <c r="G25" s="1" t="s">
        <v>25</v>
      </c>
      <c r="H25" s="2">
        <v>36583</v>
      </c>
      <c r="I25" s="2">
        <v>42316</v>
      </c>
      <c r="J25" s="2" t="s">
        <v>25</v>
      </c>
      <c r="K25" s="3">
        <v>60000</v>
      </c>
      <c r="L25" s="3"/>
      <c r="M25" s="3">
        <v>-60000</v>
      </c>
      <c r="N25" s="1">
        <v>0</v>
      </c>
      <c r="O25" s="1">
        <v>1</v>
      </c>
      <c r="P25" s="1">
        <v>0</v>
      </c>
      <c r="Q25" s="3">
        <v>70000</v>
      </c>
      <c r="R25" s="3"/>
      <c r="S25" s="3">
        <v>-130000</v>
      </c>
      <c r="T25" s="1">
        <v>9.2849310000000003</v>
      </c>
      <c r="U25" s="3">
        <v>73000</v>
      </c>
      <c r="V25" s="3">
        <v>0</v>
      </c>
      <c r="W25" s="1">
        <v>1.043836</v>
      </c>
      <c r="X25" s="1">
        <v>-57000</v>
      </c>
      <c r="Y25" s="22">
        <v>10.32877</v>
      </c>
      <c r="Z25" s="4">
        <f>Table1[[#This Row],[totalTimeKept]]*$AD$3</f>
        <v>154931.55000000002</v>
      </c>
      <c r="AA25" s="4">
        <f>Y25-Z25</f>
        <v>-154921.22123000002</v>
      </c>
      <c r="AC25" t="s">
        <v>1526</v>
      </c>
      <c r="AD25" s="5">
        <f>SUM(AD19:AD23)</f>
        <v>-24399470.180705298</v>
      </c>
    </row>
    <row r="26" spans="1:31" x14ac:dyDescent="0.3">
      <c r="A26" s="1">
        <v>5326184</v>
      </c>
      <c r="B26" s="1" t="s">
        <v>73</v>
      </c>
      <c r="C26" s="1" t="s">
        <v>74</v>
      </c>
      <c r="D26" s="1">
        <v>1362757</v>
      </c>
      <c r="E26" s="1">
        <v>0</v>
      </c>
      <c r="F26" s="1" t="s">
        <v>24</v>
      </c>
      <c r="G26" s="1" t="s">
        <v>25</v>
      </c>
      <c r="H26" s="2">
        <v>36602</v>
      </c>
      <c r="I26" s="2">
        <v>41953</v>
      </c>
      <c r="J26" s="2" t="s">
        <v>25</v>
      </c>
      <c r="K26" s="3">
        <v>190000</v>
      </c>
      <c r="L26" s="3"/>
      <c r="M26" s="3">
        <v>-190000</v>
      </c>
      <c r="N26" s="1">
        <v>0</v>
      </c>
      <c r="O26" s="1">
        <v>1</v>
      </c>
      <c r="P26" s="1">
        <v>0</v>
      </c>
      <c r="Q26" s="3">
        <v>170000</v>
      </c>
      <c r="R26" s="3"/>
      <c r="S26" s="3">
        <v>-360000</v>
      </c>
      <c r="T26" s="1">
        <v>10.279450000000001</v>
      </c>
      <c r="U26" s="3">
        <v>355000</v>
      </c>
      <c r="V26" s="3">
        <v>0</v>
      </c>
      <c r="W26" s="1">
        <v>11.92877</v>
      </c>
      <c r="X26" s="1">
        <v>-5000</v>
      </c>
      <c r="Y26" s="22">
        <v>22.208220000000001</v>
      </c>
      <c r="Z26" s="4">
        <f>Table1[[#This Row],[totalTimeKept]]*$AD$3</f>
        <v>333123.3</v>
      </c>
      <c r="AA26" s="4">
        <f>Y26-Z26</f>
        <v>-333101.09178000002</v>
      </c>
    </row>
    <row r="27" spans="1:31" x14ac:dyDescent="0.3">
      <c r="A27" s="1">
        <v>5334092</v>
      </c>
      <c r="B27" s="1" t="s">
        <v>75</v>
      </c>
      <c r="C27" s="1" t="s">
        <v>76</v>
      </c>
      <c r="D27" s="1">
        <v>1014364</v>
      </c>
      <c r="E27" s="1">
        <v>0</v>
      </c>
      <c r="F27" s="1" t="s">
        <v>24</v>
      </c>
      <c r="G27" s="1" t="s">
        <v>25</v>
      </c>
      <c r="H27" s="2">
        <v>36596</v>
      </c>
      <c r="I27" s="2">
        <v>42311</v>
      </c>
      <c r="J27" s="2" t="s">
        <v>25</v>
      </c>
      <c r="K27" s="3">
        <v>300000</v>
      </c>
      <c r="L27" s="3"/>
      <c r="M27" s="3">
        <v>-300000</v>
      </c>
      <c r="N27" s="1">
        <v>0</v>
      </c>
      <c r="O27" s="1">
        <v>1</v>
      </c>
      <c r="P27" s="1">
        <v>0</v>
      </c>
      <c r="Q27" s="3">
        <v>190000</v>
      </c>
      <c r="R27" s="3"/>
      <c r="S27" s="3">
        <v>-490000</v>
      </c>
      <c r="T27" s="1">
        <v>9.2986299999999993</v>
      </c>
      <c r="U27" s="3">
        <v>520915</v>
      </c>
      <c r="V27" s="3">
        <v>0</v>
      </c>
      <c r="W27" s="1">
        <v>11.073969999999999</v>
      </c>
      <c r="X27" s="1">
        <v>30915</v>
      </c>
      <c r="Y27" s="22">
        <v>20.372599999999998</v>
      </c>
      <c r="Z27" s="4">
        <f>Table1[[#This Row],[totalTimeKept]]*$AD$3</f>
        <v>305589</v>
      </c>
      <c r="AA27" s="4">
        <f>Y27-Z27</f>
        <v>-305568.6274</v>
      </c>
    </row>
    <row r="28" spans="1:31" x14ac:dyDescent="0.3">
      <c r="A28" s="1">
        <v>5352492</v>
      </c>
      <c r="B28" s="1" t="s">
        <v>77</v>
      </c>
      <c r="C28" s="1" t="s">
        <v>78</v>
      </c>
      <c r="D28" s="1">
        <v>1356774</v>
      </c>
      <c r="E28" s="1">
        <v>0</v>
      </c>
      <c r="F28" s="1" t="s">
        <v>24</v>
      </c>
      <c r="G28" s="1" t="s">
        <v>25</v>
      </c>
      <c r="H28" s="2">
        <v>36583</v>
      </c>
      <c r="I28" s="2">
        <v>42311</v>
      </c>
      <c r="J28" s="2" t="s">
        <v>25</v>
      </c>
      <c r="K28" s="3">
        <v>250000</v>
      </c>
      <c r="L28" s="3"/>
      <c r="M28" s="3">
        <v>-250000</v>
      </c>
      <c r="N28" s="1">
        <v>0</v>
      </c>
      <c r="O28" s="1">
        <v>1</v>
      </c>
      <c r="P28" s="1">
        <v>0</v>
      </c>
      <c r="Q28" s="3">
        <v>337500</v>
      </c>
      <c r="R28" s="3"/>
      <c r="S28" s="3">
        <v>-587500</v>
      </c>
      <c r="T28" s="1">
        <v>9.2986299999999993</v>
      </c>
      <c r="U28" s="3">
        <v>303950</v>
      </c>
      <c r="V28" s="3">
        <v>72500</v>
      </c>
      <c r="W28" s="1">
        <v>10.82466</v>
      </c>
      <c r="X28" s="1">
        <v>-283550</v>
      </c>
      <c r="Y28" s="22">
        <v>20.123290000000001</v>
      </c>
      <c r="Z28" s="4">
        <f>Table1[[#This Row],[totalTimeKept]]*$AD$3</f>
        <v>301849.35000000003</v>
      </c>
      <c r="AA28" s="4">
        <f>Y28-Z28</f>
        <v>-301829.22671000002</v>
      </c>
      <c r="AD28" t="s">
        <v>1532</v>
      </c>
    </row>
    <row r="29" spans="1:31" x14ac:dyDescent="0.3">
      <c r="A29" s="1">
        <v>5362981</v>
      </c>
      <c r="B29" s="1" t="s">
        <v>79</v>
      </c>
      <c r="C29" s="1" t="s">
        <v>80</v>
      </c>
      <c r="E29" s="1">
        <v>0</v>
      </c>
      <c r="F29" s="1" t="s">
        <v>24</v>
      </c>
      <c r="G29" s="1" t="s">
        <v>25</v>
      </c>
      <c r="H29" s="2">
        <v>36620</v>
      </c>
      <c r="I29" s="2">
        <v>43108</v>
      </c>
      <c r="J29" s="1" t="s">
        <v>25</v>
      </c>
      <c r="K29" s="3">
        <v>77000</v>
      </c>
      <c r="L29" s="3"/>
      <c r="M29" s="3">
        <v>-77000</v>
      </c>
      <c r="N29" s="1">
        <v>0</v>
      </c>
      <c r="O29" s="1">
        <v>1</v>
      </c>
      <c r="P29" s="1">
        <v>0</v>
      </c>
      <c r="Q29" s="3">
        <v>10000</v>
      </c>
      <c r="R29" s="3"/>
      <c r="S29" s="3">
        <v>-87000</v>
      </c>
      <c r="T29" s="1">
        <v>7.1150679999999999</v>
      </c>
      <c r="U29" s="3"/>
      <c r="V29" s="3"/>
      <c r="X29" s="1">
        <v>-87000</v>
      </c>
      <c r="Y29" s="22">
        <v>7.1150679999999999</v>
      </c>
      <c r="Z29" s="4">
        <f>Table1[[#This Row],[totalTimeKept]]*$AD$3</f>
        <v>106726.02</v>
      </c>
      <c r="AA29" s="4">
        <f>Y29-Z29</f>
        <v>-106718.904932</v>
      </c>
      <c r="AC29" t="s">
        <v>46</v>
      </c>
      <c r="AD29" s="4">
        <f>SUMIFS($R$2:$R$970,$F$2:$F$970,AC29,$I$2:$I$970, "&lt;"&amp;DATE($AD$17,1,1))</f>
        <v>0</v>
      </c>
    </row>
    <row r="30" spans="1:31" x14ac:dyDescent="0.3">
      <c r="A30" s="1">
        <v>5363855</v>
      </c>
      <c r="B30" s="1" t="s">
        <v>81</v>
      </c>
      <c r="C30" s="1" t="s">
        <v>82</v>
      </c>
      <c r="D30" s="1">
        <v>4013723</v>
      </c>
      <c r="E30" s="1">
        <v>0</v>
      </c>
      <c r="F30" s="1" t="s">
        <v>24</v>
      </c>
      <c r="G30" s="1" t="s">
        <v>25</v>
      </c>
      <c r="H30" s="2">
        <v>36637</v>
      </c>
      <c r="I30" s="2">
        <v>42311</v>
      </c>
      <c r="J30" s="2" t="s">
        <v>25</v>
      </c>
      <c r="K30" s="3">
        <v>70000</v>
      </c>
      <c r="L30" s="3"/>
      <c r="M30" s="3">
        <v>-70000</v>
      </c>
      <c r="N30" s="1">
        <v>0</v>
      </c>
      <c r="O30" s="1">
        <v>1</v>
      </c>
      <c r="P30" s="1">
        <v>0</v>
      </c>
      <c r="Q30" s="3">
        <v>0</v>
      </c>
      <c r="R30" s="3"/>
      <c r="S30" s="3">
        <v>-70000</v>
      </c>
      <c r="T30" s="1">
        <v>9.2986299999999993</v>
      </c>
      <c r="U30" s="3"/>
      <c r="V30" s="3"/>
      <c r="X30" s="1">
        <v>-70000</v>
      </c>
      <c r="Y30" s="22">
        <v>9.2986299999999993</v>
      </c>
      <c r="Z30" s="4">
        <f>Table1[[#This Row],[totalTimeKept]]*$AD$3</f>
        <v>139479.44999999998</v>
      </c>
      <c r="AA30" s="4">
        <f>Y30-Z30</f>
        <v>-139470.15136999998</v>
      </c>
    </row>
    <row r="31" spans="1:31" x14ac:dyDescent="0.3">
      <c r="A31" s="1">
        <v>6045403</v>
      </c>
      <c r="B31" s="1" t="s">
        <v>83</v>
      </c>
      <c r="C31" s="1" t="s">
        <v>84</v>
      </c>
      <c r="D31" s="1">
        <v>1634403</v>
      </c>
      <c r="E31" s="1">
        <v>0</v>
      </c>
      <c r="F31" s="1" t="s">
        <v>24</v>
      </c>
      <c r="G31" s="1" t="s">
        <v>25</v>
      </c>
      <c r="H31" s="2">
        <v>36064</v>
      </c>
      <c r="I31" s="2">
        <v>41947</v>
      </c>
      <c r="J31" s="2" t="s">
        <v>25</v>
      </c>
      <c r="K31" s="3">
        <v>100000</v>
      </c>
      <c r="L31" s="3"/>
      <c r="M31" s="3">
        <v>-100000</v>
      </c>
      <c r="O31" s="1">
        <v>1</v>
      </c>
      <c r="P31" s="1">
        <v>0</v>
      </c>
      <c r="Q31" s="3">
        <v>390000</v>
      </c>
      <c r="R31" s="3"/>
      <c r="S31" s="3">
        <v>-490000</v>
      </c>
      <c r="T31" s="1">
        <v>10.29589</v>
      </c>
      <c r="U31" s="3">
        <v>155000</v>
      </c>
      <c r="V31" s="3">
        <v>0</v>
      </c>
      <c r="W31" s="1">
        <v>1.8739730000000001</v>
      </c>
      <c r="X31" s="1">
        <v>-335000</v>
      </c>
      <c r="Y31" s="22">
        <v>12.16986</v>
      </c>
      <c r="Z31" s="4">
        <f>Table1[[#This Row],[totalTimeKept]]*$AD$3</f>
        <v>182547.9</v>
      </c>
      <c r="AA31" s="4">
        <f>Y31-Z31</f>
        <v>-182535.73014</v>
      </c>
    </row>
    <row r="32" spans="1:31" x14ac:dyDescent="0.3">
      <c r="A32" s="1">
        <v>6079769</v>
      </c>
      <c r="B32" s="1" t="s">
        <v>85</v>
      </c>
      <c r="C32" s="1" t="s">
        <v>86</v>
      </c>
      <c r="D32" s="1">
        <v>1277311</v>
      </c>
      <c r="E32" s="1">
        <v>0</v>
      </c>
      <c r="F32" s="1" t="s">
        <v>24</v>
      </c>
      <c r="G32" s="1" t="s">
        <v>24</v>
      </c>
      <c r="H32" s="2">
        <v>36917</v>
      </c>
      <c r="I32" s="2">
        <v>40918</v>
      </c>
      <c r="J32" s="2">
        <v>41586</v>
      </c>
      <c r="K32" s="3">
        <v>200000</v>
      </c>
      <c r="L32" s="3">
        <v>135000</v>
      </c>
      <c r="M32" s="3">
        <v>-65000</v>
      </c>
      <c r="N32" s="1">
        <v>0</v>
      </c>
      <c r="O32" s="1">
        <v>1</v>
      </c>
      <c r="P32" s="1">
        <v>1</v>
      </c>
      <c r="Q32" s="3">
        <v>0</v>
      </c>
      <c r="R32" s="3"/>
      <c r="S32" s="3">
        <v>-65000</v>
      </c>
      <c r="T32" s="1">
        <v>1.8301369999999999</v>
      </c>
      <c r="U32" s="3">
        <v>52000</v>
      </c>
      <c r="V32" s="3">
        <v>0</v>
      </c>
      <c r="W32" s="1">
        <v>1.413699</v>
      </c>
      <c r="X32" s="1">
        <v>-13000</v>
      </c>
      <c r="Y32" s="22">
        <v>3.2438359999999999</v>
      </c>
      <c r="Z32" s="4">
        <f>Table1[[#This Row],[totalTimeKept]]*$AD$3</f>
        <v>48657.54</v>
      </c>
      <c r="AA32" s="4">
        <f>Y32-Z32</f>
        <v>-48654.296163999999</v>
      </c>
    </row>
    <row r="33" spans="1:27" x14ac:dyDescent="0.3">
      <c r="A33" s="1">
        <v>6106367</v>
      </c>
      <c r="B33" s="1" t="s">
        <v>87</v>
      </c>
      <c r="C33" s="1" t="s">
        <v>88</v>
      </c>
      <c r="D33" s="1">
        <v>1315262</v>
      </c>
      <c r="E33" s="1">
        <v>0</v>
      </c>
      <c r="F33" s="1" t="s">
        <v>24</v>
      </c>
      <c r="G33" s="1" t="s">
        <v>25</v>
      </c>
      <c r="H33" s="2">
        <v>36921</v>
      </c>
      <c r="I33" s="2">
        <v>41582</v>
      </c>
      <c r="J33" s="2" t="s">
        <v>25</v>
      </c>
      <c r="K33" s="3">
        <v>110000</v>
      </c>
      <c r="L33" s="3"/>
      <c r="M33" s="3">
        <v>-110000</v>
      </c>
      <c r="N33" s="1">
        <v>0</v>
      </c>
      <c r="O33" s="1">
        <v>1</v>
      </c>
      <c r="P33" s="1">
        <v>0</v>
      </c>
      <c r="Q33" s="3">
        <v>447500</v>
      </c>
      <c r="R33" s="3"/>
      <c r="S33" s="3">
        <v>-557500</v>
      </c>
      <c r="T33" s="1">
        <v>11.29589</v>
      </c>
      <c r="U33" s="3">
        <v>162000</v>
      </c>
      <c r="V33" s="3">
        <v>0</v>
      </c>
      <c r="W33" s="1">
        <v>2.8136990000000002</v>
      </c>
      <c r="X33" s="1">
        <v>-395500</v>
      </c>
      <c r="Y33" s="22">
        <v>14.109590000000001</v>
      </c>
      <c r="Z33" s="4">
        <f>Table1[[#This Row],[totalTimeKept]]*$AD$3</f>
        <v>211643.85</v>
      </c>
      <c r="AA33" s="4">
        <f>Y33-Z33</f>
        <v>-211629.74041</v>
      </c>
    </row>
    <row r="34" spans="1:27" x14ac:dyDescent="0.3">
      <c r="A34" s="1">
        <v>6163506</v>
      </c>
      <c r="B34" s="1" t="s">
        <v>89</v>
      </c>
      <c r="C34" s="1" t="s">
        <v>90</v>
      </c>
      <c r="D34" s="1">
        <v>1424260</v>
      </c>
      <c r="E34" s="1">
        <v>0</v>
      </c>
      <c r="F34" s="1" t="s">
        <v>24</v>
      </c>
      <c r="G34" s="1" t="s">
        <v>25</v>
      </c>
      <c r="H34" s="2">
        <v>37002</v>
      </c>
      <c r="I34" s="2">
        <v>42682</v>
      </c>
      <c r="J34" s="2" t="s">
        <v>25</v>
      </c>
      <c r="K34" s="3">
        <v>70000</v>
      </c>
      <c r="L34" s="3"/>
      <c r="M34" s="3">
        <v>-70000</v>
      </c>
      <c r="N34" s="1">
        <v>0</v>
      </c>
      <c r="O34" s="1">
        <v>1</v>
      </c>
      <c r="P34" s="1">
        <v>0</v>
      </c>
      <c r="Q34" s="3">
        <v>365000</v>
      </c>
      <c r="R34" s="3"/>
      <c r="S34" s="3">
        <v>-435000</v>
      </c>
      <c r="T34" s="1">
        <v>8.2821920000000002</v>
      </c>
      <c r="U34" s="3">
        <v>645000</v>
      </c>
      <c r="V34" s="3">
        <v>0</v>
      </c>
      <c r="W34" s="1">
        <v>2.9452050000000001</v>
      </c>
      <c r="X34" s="1">
        <v>210000</v>
      </c>
      <c r="Y34" s="22">
        <v>11.227399999999999</v>
      </c>
      <c r="Z34" s="4">
        <f>Table1[[#This Row],[totalTimeKept]]*$AD$3</f>
        <v>168411</v>
      </c>
      <c r="AA34" s="4">
        <f>Y34-Z34</f>
        <v>-168399.7726</v>
      </c>
    </row>
    <row r="35" spans="1:27" x14ac:dyDescent="0.3">
      <c r="A35" s="1">
        <v>6226813</v>
      </c>
      <c r="B35" s="1" t="s">
        <v>91</v>
      </c>
      <c r="C35" s="1" t="s">
        <v>92</v>
      </c>
      <c r="D35" s="1">
        <v>939115</v>
      </c>
      <c r="E35" s="1">
        <v>0</v>
      </c>
      <c r="F35" s="1" t="s">
        <v>24</v>
      </c>
      <c r="G35" s="1" t="s">
        <v>24</v>
      </c>
      <c r="H35" s="2">
        <v>36936</v>
      </c>
      <c r="I35" s="2">
        <v>41583</v>
      </c>
      <c r="J35" s="2">
        <v>41950</v>
      </c>
      <c r="K35" s="3">
        <v>110000</v>
      </c>
      <c r="L35" s="3">
        <v>80000</v>
      </c>
      <c r="M35" s="3">
        <v>-30000</v>
      </c>
      <c r="N35" s="1">
        <v>0</v>
      </c>
      <c r="O35" s="1">
        <v>1</v>
      </c>
      <c r="P35" s="1">
        <v>1</v>
      </c>
      <c r="Q35" s="3">
        <v>0</v>
      </c>
      <c r="R35" s="3"/>
      <c r="S35" s="3">
        <v>-30000</v>
      </c>
      <c r="T35" s="1">
        <v>1.005479</v>
      </c>
      <c r="U35" s="3">
        <v>250000</v>
      </c>
      <c r="V35" s="3">
        <v>0</v>
      </c>
      <c r="W35" s="1">
        <v>1.435616</v>
      </c>
      <c r="X35" s="1">
        <v>220000</v>
      </c>
      <c r="Y35" s="22">
        <v>2.4410959999999999</v>
      </c>
      <c r="Z35" s="4">
        <f>Table1[[#This Row],[totalTimeKept]]*$AD$3</f>
        <v>36616.44</v>
      </c>
      <c r="AA35" s="4">
        <f>Y35-Z35</f>
        <v>-36613.998904</v>
      </c>
    </row>
    <row r="36" spans="1:27" x14ac:dyDescent="0.3">
      <c r="A36" s="1">
        <v>6279674</v>
      </c>
      <c r="B36" s="1" t="s">
        <v>93</v>
      </c>
      <c r="C36" s="1" t="s">
        <v>94</v>
      </c>
      <c r="D36" s="1">
        <v>1016539</v>
      </c>
      <c r="E36" s="1">
        <v>0</v>
      </c>
      <c r="F36" s="1" t="s">
        <v>24</v>
      </c>
      <c r="G36" s="1" t="s">
        <v>25</v>
      </c>
      <c r="H36" s="2">
        <v>37041</v>
      </c>
      <c r="I36" s="2">
        <v>42311</v>
      </c>
      <c r="J36" s="2" t="s">
        <v>25</v>
      </c>
      <c r="K36" s="3">
        <v>320000</v>
      </c>
      <c r="L36" s="3"/>
      <c r="M36" s="3">
        <v>-320000</v>
      </c>
      <c r="N36" s="1">
        <v>0</v>
      </c>
      <c r="O36" s="1">
        <v>1</v>
      </c>
      <c r="P36" s="1">
        <v>0</v>
      </c>
      <c r="Q36" s="3">
        <v>336126.7</v>
      </c>
      <c r="R36" s="3"/>
      <c r="S36" s="3">
        <v>-656126.69999999995</v>
      </c>
      <c r="T36" s="1">
        <v>9.2986299999999993</v>
      </c>
      <c r="U36" s="3">
        <v>360000</v>
      </c>
      <c r="V36" s="3">
        <v>0</v>
      </c>
      <c r="W36" s="1">
        <v>0.58630139999999997</v>
      </c>
      <c r="X36" s="1">
        <v>-296126.7</v>
      </c>
      <c r="Y36" s="22">
        <v>9.8849319999999992</v>
      </c>
      <c r="Z36" s="4">
        <f>Table1[[#This Row],[totalTimeKept]]*$AD$3</f>
        <v>148273.97999999998</v>
      </c>
      <c r="AA36" s="4">
        <f>Y36-Z36</f>
        <v>-148264.095068</v>
      </c>
    </row>
    <row r="37" spans="1:27" x14ac:dyDescent="0.3">
      <c r="A37" s="1">
        <v>6397901</v>
      </c>
      <c r="B37" s="1" t="s">
        <v>95</v>
      </c>
      <c r="C37" s="1" t="s">
        <v>96</v>
      </c>
      <c r="D37" s="1">
        <v>1172114</v>
      </c>
      <c r="E37" s="1">
        <v>0</v>
      </c>
      <c r="F37" s="1" t="s">
        <v>24</v>
      </c>
      <c r="G37" s="1" t="s">
        <v>25</v>
      </c>
      <c r="H37" s="2">
        <v>36973</v>
      </c>
      <c r="I37" s="2">
        <v>42311</v>
      </c>
      <c r="J37" s="2" t="s">
        <v>25</v>
      </c>
      <c r="K37" s="3">
        <v>225000</v>
      </c>
      <c r="L37" s="3"/>
      <c r="M37" s="3">
        <v>-225000</v>
      </c>
      <c r="N37" s="1">
        <v>0</v>
      </c>
      <c r="O37" s="1">
        <v>1</v>
      </c>
      <c r="P37" s="1">
        <v>0</v>
      </c>
      <c r="Q37" s="3">
        <v>175808.3</v>
      </c>
      <c r="R37" s="3"/>
      <c r="S37" s="3">
        <v>-400808.3</v>
      </c>
      <c r="T37" s="1">
        <v>9.2986299999999993</v>
      </c>
      <c r="U37" s="3">
        <v>216843.5</v>
      </c>
      <c r="V37" s="3">
        <v>103481.5</v>
      </c>
      <c r="W37" s="1">
        <v>6.3013700000000004</v>
      </c>
      <c r="X37" s="1">
        <v>-183964.79999999999</v>
      </c>
      <c r="Y37" s="22">
        <v>15.6</v>
      </c>
      <c r="Z37" s="4">
        <f>Table1[[#This Row],[totalTimeKept]]*$AD$3</f>
        <v>234000</v>
      </c>
      <c r="AA37" s="4">
        <f>Y37-Z37</f>
        <v>-233984.4</v>
      </c>
    </row>
    <row r="38" spans="1:27" x14ac:dyDescent="0.3">
      <c r="A38" s="1">
        <v>6445269</v>
      </c>
      <c r="B38" s="1" t="s">
        <v>97</v>
      </c>
      <c r="C38" s="1" t="s">
        <v>98</v>
      </c>
      <c r="D38" s="1">
        <v>1116296</v>
      </c>
      <c r="E38" s="1">
        <v>0</v>
      </c>
      <c r="F38" s="1" t="s">
        <v>24</v>
      </c>
      <c r="G38" s="1" t="s">
        <v>24</v>
      </c>
      <c r="H38" s="2">
        <v>37279</v>
      </c>
      <c r="I38" s="2">
        <v>42313</v>
      </c>
      <c r="J38" s="2">
        <v>43412</v>
      </c>
      <c r="K38" s="3">
        <v>100000</v>
      </c>
      <c r="L38" s="3">
        <v>6000</v>
      </c>
      <c r="M38" s="3">
        <v>-94000</v>
      </c>
      <c r="N38" s="1">
        <v>0</v>
      </c>
      <c r="O38" s="1">
        <v>1</v>
      </c>
      <c r="P38" s="1">
        <v>1</v>
      </c>
      <c r="Q38" s="3">
        <v>32500</v>
      </c>
      <c r="R38" s="3"/>
      <c r="S38" s="3">
        <v>-126500</v>
      </c>
      <c r="T38" s="1">
        <v>3.0109590000000002</v>
      </c>
      <c r="U38" s="3">
        <v>70000</v>
      </c>
      <c r="V38" s="3">
        <v>0</v>
      </c>
      <c r="W38" s="1">
        <v>0.7041096</v>
      </c>
      <c r="X38" s="1">
        <v>-56500</v>
      </c>
      <c r="Y38" s="22">
        <v>3.7150690000000002</v>
      </c>
      <c r="Z38" s="4">
        <f>Table1[[#This Row],[totalTimeKept]]*$AD$3</f>
        <v>55726.035000000003</v>
      </c>
      <c r="AA38" s="4">
        <f>Y38-Z38</f>
        <v>-55722.319931000005</v>
      </c>
    </row>
    <row r="39" spans="1:27" x14ac:dyDescent="0.3">
      <c r="A39" s="1">
        <v>6488449</v>
      </c>
      <c r="B39" s="1" t="s">
        <v>99</v>
      </c>
      <c r="C39" s="1" t="s">
        <v>100</v>
      </c>
      <c r="D39" s="1">
        <v>1433242</v>
      </c>
      <c r="E39" s="1">
        <v>0</v>
      </c>
      <c r="F39" s="1" t="s">
        <v>24</v>
      </c>
      <c r="G39" s="1" t="s">
        <v>25</v>
      </c>
      <c r="H39" s="2">
        <v>37322</v>
      </c>
      <c r="I39" s="2">
        <v>42681</v>
      </c>
      <c r="J39" s="2" t="s">
        <v>25</v>
      </c>
      <c r="K39" s="3">
        <v>85000</v>
      </c>
      <c r="L39" s="3"/>
      <c r="M39" s="3">
        <v>-85000</v>
      </c>
      <c r="N39" s="1">
        <v>0</v>
      </c>
      <c r="O39" s="1">
        <v>1</v>
      </c>
      <c r="P39" s="1">
        <v>0</v>
      </c>
      <c r="Q39" s="3">
        <v>85000</v>
      </c>
      <c r="R39" s="3"/>
      <c r="S39" s="3">
        <v>-170000</v>
      </c>
      <c r="T39" s="1">
        <v>8.2849310000000003</v>
      </c>
      <c r="U39" s="3">
        <v>151100</v>
      </c>
      <c r="V39" s="3">
        <v>0</v>
      </c>
      <c r="W39" s="1">
        <v>4.1095889999999997</v>
      </c>
      <c r="X39" s="1">
        <v>-18900</v>
      </c>
      <c r="Y39" s="22">
        <v>12.39452</v>
      </c>
      <c r="Z39" s="4">
        <f>Table1[[#This Row],[totalTimeKept]]*$AD$3</f>
        <v>185917.8</v>
      </c>
      <c r="AA39" s="4">
        <f>Y39-Z39</f>
        <v>-185905.40547999999</v>
      </c>
    </row>
    <row r="40" spans="1:27" x14ac:dyDescent="0.3">
      <c r="A40" s="1">
        <v>6489834</v>
      </c>
      <c r="B40" s="1" t="s">
        <v>101</v>
      </c>
      <c r="C40" s="1" t="s">
        <v>102</v>
      </c>
      <c r="D40" s="1">
        <v>4036827</v>
      </c>
      <c r="E40" s="1">
        <v>0</v>
      </c>
      <c r="F40" s="1" t="s">
        <v>24</v>
      </c>
      <c r="G40" s="1" t="s">
        <v>25</v>
      </c>
      <c r="H40" s="2">
        <v>37336</v>
      </c>
      <c r="I40" s="2">
        <v>42310</v>
      </c>
      <c r="J40" s="2" t="s">
        <v>25</v>
      </c>
      <c r="K40" s="3">
        <v>100000</v>
      </c>
      <c r="L40" s="3"/>
      <c r="M40" s="3">
        <v>-100000</v>
      </c>
      <c r="N40" s="1">
        <v>0</v>
      </c>
      <c r="O40" s="1">
        <v>1</v>
      </c>
      <c r="P40" s="1">
        <v>0</v>
      </c>
      <c r="Q40" s="3">
        <v>262500</v>
      </c>
      <c r="R40" s="3"/>
      <c r="S40" s="3">
        <v>-362500</v>
      </c>
      <c r="T40" s="1">
        <v>9.3013700000000004</v>
      </c>
      <c r="U40" s="3">
        <v>339000</v>
      </c>
      <c r="V40" s="3">
        <v>0</v>
      </c>
      <c r="W40" s="1">
        <v>3.1917810000000002</v>
      </c>
      <c r="X40" s="1">
        <v>-23500</v>
      </c>
      <c r="Y40" s="22">
        <v>12.49315</v>
      </c>
      <c r="Z40" s="4">
        <f>Table1[[#This Row],[totalTimeKept]]*$AD$3</f>
        <v>187397.25</v>
      </c>
      <c r="AA40" s="4">
        <f>Y40-Z40</f>
        <v>-187384.75685000001</v>
      </c>
    </row>
    <row r="41" spans="1:27" x14ac:dyDescent="0.3">
      <c r="A41" s="1">
        <v>6513217</v>
      </c>
      <c r="B41" s="1" t="s">
        <v>103</v>
      </c>
      <c r="C41" s="1" t="s">
        <v>104</v>
      </c>
      <c r="D41" s="1">
        <v>4436724</v>
      </c>
      <c r="E41" s="1">
        <v>0</v>
      </c>
      <c r="F41" s="1" t="s">
        <v>24</v>
      </c>
      <c r="G41" s="1" t="s">
        <v>25</v>
      </c>
      <c r="H41" s="2">
        <v>37338</v>
      </c>
      <c r="I41" s="2">
        <v>42311</v>
      </c>
      <c r="J41" s="2" t="s">
        <v>25</v>
      </c>
      <c r="K41" s="3">
        <v>950000</v>
      </c>
      <c r="L41" s="3"/>
      <c r="M41" s="3">
        <v>-950000</v>
      </c>
      <c r="N41" s="1">
        <v>0</v>
      </c>
      <c r="O41" s="1">
        <v>1</v>
      </c>
      <c r="P41" s="1">
        <v>0</v>
      </c>
      <c r="Q41" s="3">
        <v>0</v>
      </c>
      <c r="R41" s="3"/>
      <c r="S41" s="3">
        <v>-950000</v>
      </c>
      <c r="T41" s="1">
        <v>9.2986299999999993</v>
      </c>
      <c r="U41" s="3">
        <v>700000</v>
      </c>
      <c r="V41" s="3">
        <v>0</v>
      </c>
      <c r="W41" s="1">
        <v>1.70137</v>
      </c>
      <c r="X41" s="1">
        <v>-250000</v>
      </c>
      <c r="Y41" s="22">
        <v>11</v>
      </c>
      <c r="Z41" s="4">
        <f>Table1[[#This Row],[totalTimeKept]]*$AD$3</f>
        <v>165000</v>
      </c>
      <c r="AA41" s="4">
        <f>Y41-Z41</f>
        <v>-164989</v>
      </c>
    </row>
    <row r="42" spans="1:27" x14ac:dyDescent="0.3">
      <c r="A42" s="1">
        <v>6532481</v>
      </c>
      <c r="B42" s="1" t="s">
        <v>105</v>
      </c>
      <c r="C42" s="1" t="s">
        <v>106</v>
      </c>
      <c r="D42" s="1">
        <v>1699009</v>
      </c>
      <c r="E42" s="1">
        <v>0</v>
      </c>
      <c r="F42" s="1" t="s">
        <v>24</v>
      </c>
      <c r="G42" s="1" t="s">
        <v>25</v>
      </c>
      <c r="H42" s="2">
        <v>37388</v>
      </c>
      <c r="I42" s="2">
        <v>43413</v>
      </c>
      <c r="J42" s="2" t="s">
        <v>25</v>
      </c>
      <c r="K42" s="3">
        <v>80000</v>
      </c>
      <c r="L42" s="3"/>
      <c r="M42" s="3">
        <v>-80000</v>
      </c>
      <c r="N42" s="1">
        <v>0</v>
      </c>
      <c r="O42" s="1">
        <v>1</v>
      </c>
      <c r="P42" s="1">
        <v>0</v>
      </c>
      <c r="Q42" s="3">
        <v>45000</v>
      </c>
      <c r="R42" s="3"/>
      <c r="S42" s="3">
        <v>-125000</v>
      </c>
      <c r="T42" s="1">
        <v>6.279452</v>
      </c>
      <c r="U42" s="3">
        <v>115000</v>
      </c>
      <c r="V42" s="3">
        <v>0</v>
      </c>
      <c r="W42" s="1">
        <v>1.5561640000000001</v>
      </c>
      <c r="X42" s="1">
        <v>-10000</v>
      </c>
      <c r="Y42" s="22">
        <v>7.8356159999999999</v>
      </c>
      <c r="Z42" s="4">
        <f>Table1[[#This Row],[totalTimeKept]]*$AD$3</f>
        <v>117534.24</v>
      </c>
      <c r="AA42" s="4">
        <f>Y42-Z42</f>
        <v>-117526.40438400001</v>
      </c>
    </row>
    <row r="43" spans="1:27" x14ac:dyDescent="0.3">
      <c r="A43" s="1">
        <v>6587169</v>
      </c>
      <c r="B43" s="1" t="s">
        <v>107</v>
      </c>
      <c r="C43" s="1" t="s">
        <v>108</v>
      </c>
      <c r="D43" s="1">
        <v>1240997</v>
      </c>
      <c r="E43" s="1">
        <v>0</v>
      </c>
      <c r="F43" s="1" t="s">
        <v>24</v>
      </c>
      <c r="G43" s="1" t="s">
        <v>25</v>
      </c>
      <c r="H43" s="2">
        <v>37367</v>
      </c>
      <c r="I43" s="2">
        <v>41948</v>
      </c>
      <c r="J43" s="2" t="s">
        <v>25</v>
      </c>
      <c r="K43" s="3">
        <v>400000</v>
      </c>
      <c r="L43" s="3"/>
      <c r="M43" s="3">
        <v>-400000</v>
      </c>
      <c r="N43" s="1">
        <v>0</v>
      </c>
      <c r="O43" s="1">
        <v>1</v>
      </c>
      <c r="P43" s="1">
        <v>0</v>
      </c>
      <c r="Q43" s="3">
        <v>80000</v>
      </c>
      <c r="R43" s="3"/>
      <c r="S43" s="3">
        <v>-480000</v>
      </c>
      <c r="T43" s="1">
        <v>10.293150000000001</v>
      </c>
      <c r="U43" s="3">
        <v>540000</v>
      </c>
      <c r="V43" s="3">
        <v>0</v>
      </c>
      <c r="W43" s="1">
        <v>1.4</v>
      </c>
      <c r="X43" s="1">
        <v>60000</v>
      </c>
      <c r="Y43" s="22">
        <v>11.693149999999999</v>
      </c>
      <c r="Z43" s="4">
        <f>Table1[[#This Row],[totalTimeKept]]*$AD$3</f>
        <v>175397.25</v>
      </c>
      <c r="AA43" s="4">
        <f>Y43-Z43</f>
        <v>-175385.55684999999</v>
      </c>
    </row>
    <row r="44" spans="1:27" x14ac:dyDescent="0.3">
      <c r="A44" s="1">
        <v>6634018</v>
      </c>
      <c r="B44" s="1" t="s">
        <v>109</v>
      </c>
      <c r="C44" s="1" t="s">
        <v>110</v>
      </c>
      <c r="D44" s="1">
        <v>1445171</v>
      </c>
      <c r="E44" s="1">
        <v>0</v>
      </c>
      <c r="F44" s="1" t="s">
        <v>24</v>
      </c>
      <c r="G44" s="1" t="s">
        <v>24</v>
      </c>
      <c r="H44" s="2">
        <v>37338</v>
      </c>
      <c r="I44" s="2">
        <v>43046</v>
      </c>
      <c r="J44" s="2">
        <v>43412</v>
      </c>
      <c r="K44" s="3">
        <v>80000</v>
      </c>
      <c r="L44" s="3">
        <v>14000</v>
      </c>
      <c r="M44" s="3">
        <v>-66000</v>
      </c>
      <c r="N44" s="1">
        <v>0</v>
      </c>
      <c r="O44" s="1">
        <v>1</v>
      </c>
      <c r="P44" s="1">
        <v>1</v>
      </c>
      <c r="Q44" s="3">
        <v>0</v>
      </c>
      <c r="R44" s="3"/>
      <c r="S44" s="3">
        <v>-66000</v>
      </c>
      <c r="T44" s="1">
        <v>1.00274</v>
      </c>
      <c r="U44" s="3">
        <v>90000</v>
      </c>
      <c r="V44" s="3">
        <v>0</v>
      </c>
      <c r="W44" s="1">
        <v>0.54520550000000001</v>
      </c>
      <c r="X44" s="1">
        <v>24000</v>
      </c>
      <c r="Y44" s="22">
        <v>1.5479449999999999</v>
      </c>
      <c r="Z44" s="4">
        <f>Table1[[#This Row],[totalTimeKept]]*$AD$3</f>
        <v>23219.174999999999</v>
      </c>
      <c r="AA44" s="4">
        <f>Y44-Z44</f>
        <v>-23217.627055000001</v>
      </c>
    </row>
    <row r="45" spans="1:27" x14ac:dyDescent="0.3">
      <c r="A45" s="1">
        <v>6634089</v>
      </c>
      <c r="B45" s="1" t="s">
        <v>111</v>
      </c>
      <c r="C45" s="1" t="s">
        <v>112</v>
      </c>
      <c r="D45" s="1">
        <v>4377668</v>
      </c>
      <c r="E45" s="1">
        <v>0</v>
      </c>
      <c r="F45" s="1" t="s">
        <v>24</v>
      </c>
      <c r="G45" s="1" t="s">
        <v>25</v>
      </c>
      <c r="H45" s="2">
        <v>37394</v>
      </c>
      <c r="I45" s="2">
        <v>43473</v>
      </c>
      <c r="J45" s="2" t="s">
        <v>25</v>
      </c>
      <c r="K45" s="3">
        <v>57000</v>
      </c>
      <c r="L45" s="3"/>
      <c r="M45" s="3">
        <v>-57000</v>
      </c>
      <c r="N45" s="1">
        <v>0</v>
      </c>
      <c r="O45" s="1">
        <v>1</v>
      </c>
      <c r="P45" s="1">
        <v>0</v>
      </c>
      <c r="Q45" s="3">
        <v>210000</v>
      </c>
      <c r="R45" s="3"/>
      <c r="S45" s="3">
        <v>-267000</v>
      </c>
      <c r="T45" s="1">
        <v>6.1150679999999999</v>
      </c>
      <c r="U45" s="3">
        <v>375000</v>
      </c>
      <c r="V45" s="3">
        <v>0</v>
      </c>
      <c r="W45" s="1">
        <v>2.082192</v>
      </c>
      <c r="X45" s="1">
        <v>108000</v>
      </c>
      <c r="Y45" s="22">
        <v>8.19726</v>
      </c>
      <c r="Z45" s="4">
        <f>Table1[[#This Row],[totalTimeKept]]*$AD$3</f>
        <v>122958.9</v>
      </c>
      <c r="AA45" s="4">
        <f>Y45-Z45</f>
        <v>-122950.70273999999</v>
      </c>
    </row>
    <row r="46" spans="1:27" x14ac:dyDescent="0.3">
      <c r="A46" s="1">
        <v>6773709</v>
      </c>
      <c r="B46" s="1" t="s">
        <v>113</v>
      </c>
      <c r="C46" s="1" t="s">
        <v>114</v>
      </c>
      <c r="D46" s="1">
        <v>1273769</v>
      </c>
      <c r="E46" s="1">
        <v>0</v>
      </c>
      <c r="F46" s="1" t="s">
        <v>24</v>
      </c>
      <c r="G46" s="1" t="s">
        <v>25</v>
      </c>
      <c r="H46" s="2">
        <v>37676</v>
      </c>
      <c r="I46" s="2">
        <v>43053</v>
      </c>
      <c r="J46" s="2" t="s">
        <v>25</v>
      </c>
      <c r="K46" s="3">
        <v>92000</v>
      </c>
      <c r="L46" s="3"/>
      <c r="M46" s="3">
        <v>-92000</v>
      </c>
      <c r="N46" s="1">
        <v>0</v>
      </c>
      <c r="O46" s="1">
        <v>1</v>
      </c>
      <c r="P46" s="1">
        <v>0</v>
      </c>
      <c r="Q46" s="3">
        <v>0</v>
      </c>
      <c r="R46" s="3"/>
      <c r="S46" s="3">
        <v>-92000</v>
      </c>
      <c r="T46" s="1">
        <v>7.2657530000000001</v>
      </c>
      <c r="U46" s="3">
        <v>58000</v>
      </c>
      <c r="V46" s="3">
        <v>0</v>
      </c>
      <c r="W46" s="1">
        <v>0.65479449999999995</v>
      </c>
      <c r="X46" s="1">
        <v>-34000</v>
      </c>
      <c r="Y46" s="22">
        <v>7.9205480000000001</v>
      </c>
      <c r="Z46" s="4">
        <f>Table1[[#This Row],[totalTimeKept]]*$AD$3</f>
        <v>118808.22</v>
      </c>
      <c r="AA46" s="4">
        <f>Y46-Z46</f>
        <v>-118800.29945200001</v>
      </c>
    </row>
    <row r="47" spans="1:27" x14ac:dyDescent="0.3">
      <c r="A47" s="1">
        <v>6800339</v>
      </c>
      <c r="B47" s="1" t="s">
        <v>115</v>
      </c>
      <c r="C47" s="1" t="s">
        <v>116</v>
      </c>
      <c r="D47" s="1">
        <v>1273775</v>
      </c>
      <c r="E47" s="1">
        <v>0</v>
      </c>
      <c r="F47" s="1" t="s">
        <v>24</v>
      </c>
      <c r="G47" s="1" t="s">
        <v>25</v>
      </c>
      <c r="H47" s="2">
        <v>37697</v>
      </c>
      <c r="I47" s="2">
        <v>42681</v>
      </c>
      <c r="J47" s="2" t="s">
        <v>25</v>
      </c>
      <c r="K47" s="3">
        <v>110000</v>
      </c>
      <c r="L47" s="3"/>
      <c r="M47" s="3">
        <v>-110000</v>
      </c>
      <c r="N47" s="1">
        <v>0</v>
      </c>
      <c r="O47" s="1">
        <v>1</v>
      </c>
      <c r="P47" s="1">
        <v>0</v>
      </c>
      <c r="Q47" s="3">
        <v>20000</v>
      </c>
      <c r="R47" s="3"/>
      <c r="S47" s="3">
        <v>-130000</v>
      </c>
      <c r="T47" s="1">
        <v>8.2849310000000003</v>
      </c>
      <c r="U47" s="3">
        <v>190000</v>
      </c>
      <c r="V47" s="3">
        <v>0</v>
      </c>
      <c r="W47" s="1">
        <v>0.55068490000000003</v>
      </c>
      <c r="X47" s="1">
        <v>60000</v>
      </c>
      <c r="Y47" s="22">
        <v>8.8356159999999999</v>
      </c>
      <c r="Z47" s="4">
        <f>Table1[[#This Row],[totalTimeKept]]*$AD$3</f>
        <v>132534.24</v>
      </c>
      <c r="AA47" s="4">
        <f>Y47-Z47</f>
        <v>-132525.40438399999</v>
      </c>
    </row>
    <row r="48" spans="1:27" x14ac:dyDescent="0.3">
      <c r="A48" s="1">
        <v>6801852</v>
      </c>
      <c r="B48" s="1" t="s">
        <v>117</v>
      </c>
      <c r="C48" s="1" t="s">
        <v>118</v>
      </c>
      <c r="D48" s="1">
        <v>4016322</v>
      </c>
      <c r="E48" s="1">
        <v>0</v>
      </c>
      <c r="F48" s="1" t="s">
        <v>24</v>
      </c>
      <c r="G48" s="1" t="s">
        <v>24</v>
      </c>
      <c r="H48" s="2">
        <v>37685</v>
      </c>
      <c r="I48" s="2">
        <v>43053</v>
      </c>
      <c r="J48" s="2">
        <v>43415</v>
      </c>
      <c r="K48" s="3">
        <v>37000</v>
      </c>
      <c r="L48" s="3">
        <v>8500</v>
      </c>
      <c r="M48" s="3">
        <v>-28500</v>
      </c>
      <c r="N48" s="1">
        <v>0</v>
      </c>
      <c r="O48" s="1">
        <v>1</v>
      </c>
      <c r="P48" s="1">
        <v>1</v>
      </c>
      <c r="Q48" s="3">
        <v>0</v>
      </c>
      <c r="R48" s="3"/>
      <c r="S48" s="3">
        <v>-28500</v>
      </c>
      <c r="T48" s="1">
        <v>0.99178080000000002</v>
      </c>
      <c r="U48" s="3">
        <v>50000</v>
      </c>
      <c r="V48" s="3">
        <v>0</v>
      </c>
      <c r="W48" s="1">
        <v>1.430137</v>
      </c>
      <c r="X48" s="1">
        <v>21500</v>
      </c>
      <c r="Y48" s="22">
        <v>2.4219179999999998</v>
      </c>
      <c r="Z48" s="4">
        <f>Table1[[#This Row],[totalTimeKept]]*$AD$3</f>
        <v>36328.769999999997</v>
      </c>
      <c r="AA48" s="4">
        <f>Y48-Z48</f>
        <v>-36326.348081999997</v>
      </c>
    </row>
    <row r="49" spans="1:27" x14ac:dyDescent="0.3">
      <c r="A49" s="1">
        <v>6816556</v>
      </c>
      <c r="B49" s="1" t="s">
        <v>119</v>
      </c>
      <c r="C49" s="1" t="s">
        <v>120</v>
      </c>
      <c r="D49" s="1">
        <v>4016548</v>
      </c>
      <c r="E49" s="1">
        <v>0</v>
      </c>
      <c r="F49" s="1" t="s">
        <v>24</v>
      </c>
      <c r="G49" s="1" t="s">
        <v>25</v>
      </c>
      <c r="H49" s="2">
        <v>37713</v>
      </c>
      <c r="I49" s="2">
        <v>42017</v>
      </c>
      <c r="J49" s="1" t="s">
        <v>25</v>
      </c>
      <c r="K49" s="3">
        <v>30000</v>
      </c>
      <c r="L49" s="3"/>
      <c r="M49" s="3">
        <v>-30000</v>
      </c>
      <c r="N49" s="1">
        <v>0</v>
      </c>
      <c r="O49" s="1">
        <v>1</v>
      </c>
      <c r="P49" s="1">
        <v>0</v>
      </c>
      <c r="Q49" s="3">
        <v>0</v>
      </c>
      <c r="R49" s="3"/>
      <c r="S49" s="3">
        <v>-30000</v>
      </c>
      <c r="T49" s="1">
        <v>10.10411</v>
      </c>
      <c r="U49" s="3"/>
      <c r="V49" s="3"/>
      <c r="X49" s="1">
        <v>-30000</v>
      </c>
      <c r="Y49" s="22">
        <v>10.10411</v>
      </c>
      <c r="Z49" s="4">
        <f>Table1[[#This Row],[totalTimeKept]]*$AD$3</f>
        <v>151561.65</v>
      </c>
      <c r="AA49" s="4">
        <f>Y49-Z49</f>
        <v>-151551.54589000001</v>
      </c>
    </row>
    <row r="50" spans="1:27" x14ac:dyDescent="0.3">
      <c r="A50" s="1">
        <v>6818403</v>
      </c>
      <c r="B50" s="1" t="s">
        <v>121</v>
      </c>
      <c r="C50" s="1" t="s">
        <v>122</v>
      </c>
      <c r="D50" s="1">
        <v>1429502</v>
      </c>
      <c r="E50" s="1">
        <v>0</v>
      </c>
      <c r="F50" s="1" t="s">
        <v>24</v>
      </c>
      <c r="G50" s="1" t="s">
        <v>24</v>
      </c>
      <c r="H50" s="2">
        <v>37715</v>
      </c>
      <c r="I50" s="2">
        <v>41592</v>
      </c>
      <c r="J50" s="2">
        <v>42682</v>
      </c>
      <c r="K50" s="3">
        <v>50000</v>
      </c>
      <c r="L50" s="3">
        <v>190000</v>
      </c>
      <c r="M50" s="3">
        <v>140000</v>
      </c>
      <c r="N50" s="1">
        <v>0</v>
      </c>
      <c r="O50" s="1">
        <v>1</v>
      </c>
      <c r="P50" s="1">
        <v>1</v>
      </c>
      <c r="Q50" s="3">
        <v>165000</v>
      </c>
      <c r="R50" s="3"/>
      <c r="S50" s="3">
        <v>-25000</v>
      </c>
      <c r="T50" s="1">
        <v>2.9863010000000001</v>
      </c>
      <c r="U50" s="3"/>
      <c r="V50" s="3"/>
      <c r="X50" s="1">
        <v>-25000</v>
      </c>
      <c r="Y50" s="22">
        <v>2.9863010000000001</v>
      </c>
      <c r="Z50" s="4">
        <f>Table1[[#This Row],[totalTimeKept]]*$AD$3</f>
        <v>44794.514999999999</v>
      </c>
      <c r="AA50" s="4">
        <f>Y50-Z50</f>
        <v>-44791.528699000002</v>
      </c>
    </row>
    <row r="51" spans="1:27" x14ac:dyDescent="0.3">
      <c r="A51" s="1">
        <v>6857532</v>
      </c>
      <c r="B51" s="1" t="s">
        <v>123</v>
      </c>
      <c r="C51" s="1" t="s">
        <v>124</v>
      </c>
      <c r="D51" s="1">
        <v>1267411</v>
      </c>
      <c r="E51" s="1">
        <v>0</v>
      </c>
      <c r="F51" s="1" t="s">
        <v>24</v>
      </c>
      <c r="G51" s="1" t="s">
        <v>25</v>
      </c>
      <c r="H51" s="2">
        <v>37741</v>
      </c>
      <c r="I51" s="2">
        <v>43408</v>
      </c>
      <c r="J51" s="2" t="s">
        <v>25</v>
      </c>
      <c r="K51" s="3">
        <v>350000</v>
      </c>
      <c r="L51" s="3"/>
      <c r="M51" s="3">
        <v>-350000</v>
      </c>
      <c r="N51" s="1">
        <v>0</v>
      </c>
      <c r="O51" s="1">
        <v>1</v>
      </c>
      <c r="P51" s="1">
        <v>0</v>
      </c>
      <c r="Q51" s="3">
        <v>320777.8</v>
      </c>
      <c r="R51" s="3"/>
      <c r="S51" s="3">
        <v>-670777.80000000005</v>
      </c>
      <c r="T51" s="1">
        <v>6.2931509999999999</v>
      </c>
      <c r="U51" s="3">
        <v>250250</v>
      </c>
      <c r="V51" s="3">
        <v>60000</v>
      </c>
      <c r="W51" s="1">
        <v>5.1041100000000004</v>
      </c>
      <c r="X51" s="1">
        <v>-420527.8</v>
      </c>
      <c r="Y51" s="22">
        <v>11.397259999999999</v>
      </c>
      <c r="Z51" s="4">
        <f>Table1[[#This Row],[totalTimeKept]]*$AD$3</f>
        <v>170958.9</v>
      </c>
      <c r="AA51" s="4">
        <f>Y51-Z51</f>
        <v>-170947.50274</v>
      </c>
    </row>
    <row r="52" spans="1:27" x14ac:dyDescent="0.3">
      <c r="A52" s="1">
        <v>6863797</v>
      </c>
      <c r="B52" s="1" t="s">
        <v>125</v>
      </c>
      <c r="C52" s="1" t="s">
        <v>126</v>
      </c>
      <c r="D52" s="1">
        <v>4332177</v>
      </c>
      <c r="E52" s="1">
        <v>0</v>
      </c>
      <c r="F52" s="1" t="s">
        <v>24</v>
      </c>
      <c r="G52" s="1" t="s">
        <v>25</v>
      </c>
      <c r="H52" s="2">
        <v>37742</v>
      </c>
      <c r="I52" s="2">
        <v>43776</v>
      </c>
      <c r="J52" s="2" t="s">
        <v>25</v>
      </c>
      <c r="K52" s="3">
        <v>115000</v>
      </c>
      <c r="L52" s="3"/>
      <c r="M52" s="3">
        <v>-115000</v>
      </c>
      <c r="N52" s="1">
        <v>0</v>
      </c>
      <c r="O52" s="1">
        <v>1</v>
      </c>
      <c r="P52" s="1">
        <v>0</v>
      </c>
      <c r="Q52" s="3">
        <v>20000</v>
      </c>
      <c r="R52" s="3"/>
      <c r="S52" s="3">
        <v>-135000</v>
      </c>
      <c r="T52" s="1">
        <v>5.2849320000000004</v>
      </c>
      <c r="U52" s="3">
        <v>120000</v>
      </c>
      <c r="V52" s="3">
        <v>0</v>
      </c>
      <c r="W52" s="1">
        <v>1.2109589999999999</v>
      </c>
      <c r="X52" s="1">
        <v>-15000</v>
      </c>
      <c r="Y52" s="22">
        <v>6.4958910000000003</v>
      </c>
      <c r="Z52" s="4">
        <f>Table1[[#This Row],[totalTimeKept]]*$AD$3</f>
        <v>97438.365000000005</v>
      </c>
      <c r="AA52" s="4">
        <f>Y52-Z52</f>
        <v>-97431.869109000007</v>
      </c>
    </row>
    <row r="53" spans="1:27" x14ac:dyDescent="0.3">
      <c r="A53" s="1">
        <v>6865801</v>
      </c>
      <c r="B53" s="1" t="s">
        <v>127</v>
      </c>
      <c r="C53" s="1" t="s">
        <v>128</v>
      </c>
      <c r="D53" s="1">
        <v>1406170</v>
      </c>
      <c r="E53" s="1">
        <v>0</v>
      </c>
      <c r="F53" s="1" t="s">
        <v>24</v>
      </c>
      <c r="G53" s="1" t="s">
        <v>25</v>
      </c>
      <c r="H53" s="2">
        <v>37703</v>
      </c>
      <c r="I53" s="2">
        <v>42682</v>
      </c>
      <c r="J53" s="2" t="s">
        <v>25</v>
      </c>
      <c r="K53" s="3">
        <v>150000</v>
      </c>
      <c r="L53" s="3"/>
      <c r="M53" s="3">
        <v>-150000</v>
      </c>
      <c r="N53" s="1">
        <v>0</v>
      </c>
      <c r="O53" s="1">
        <v>1</v>
      </c>
      <c r="P53" s="1">
        <v>0</v>
      </c>
      <c r="Q53" s="3">
        <v>212500</v>
      </c>
      <c r="R53" s="3"/>
      <c r="S53" s="3">
        <v>-362500</v>
      </c>
      <c r="T53" s="1">
        <v>8.2821920000000002</v>
      </c>
      <c r="U53" s="3">
        <v>340000</v>
      </c>
      <c r="V53" s="3">
        <v>0</v>
      </c>
      <c r="W53" s="1">
        <v>3.049315</v>
      </c>
      <c r="X53" s="1">
        <v>-22500</v>
      </c>
      <c r="Y53" s="22">
        <v>11.33151</v>
      </c>
      <c r="Z53" s="4">
        <f>Table1[[#This Row],[totalTimeKept]]*$AD$3</f>
        <v>169972.65</v>
      </c>
      <c r="AA53" s="4">
        <f>Y53-Z53</f>
        <v>-169961.31849000001</v>
      </c>
    </row>
    <row r="54" spans="1:27" x14ac:dyDescent="0.3">
      <c r="A54" s="1">
        <v>6880710</v>
      </c>
      <c r="B54" s="1" t="s">
        <v>129</v>
      </c>
      <c r="C54" s="1" t="s">
        <v>130</v>
      </c>
      <c r="D54" s="1">
        <v>1411717</v>
      </c>
      <c r="E54" s="1">
        <v>0</v>
      </c>
      <c r="F54" s="1" t="s">
        <v>24</v>
      </c>
      <c r="G54" s="1" t="s">
        <v>24</v>
      </c>
      <c r="H54" s="2">
        <v>37759</v>
      </c>
      <c r="I54" s="2">
        <v>40489</v>
      </c>
      <c r="J54" s="2">
        <v>41645</v>
      </c>
      <c r="K54" s="3">
        <v>900000</v>
      </c>
      <c r="L54" s="3">
        <v>400000</v>
      </c>
      <c r="M54" s="3">
        <v>-500000</v>
      </c>
      <c r="N54" s="1">
        <v>0</v>
      </c>
      <c r="O54" s="1">
        <v>1</v>
      </c>
      <c r="P54" s="1">
        <v>1</v>
      </c>
      <c r="Q54" s="3">
        <v>400000</v>
      </c>
      <c r="R54" s="3"/>
      <c r="S54" s="3">
        <v>-900000</v>
      </c>
      <c r="T54" s="1">
        <v>3.1671230000000001</v>
      </c>
      <c r="U54" s="3"/>
      <c r="V54" s="3"/>
      <c r="X54" s="1">
        <v>-900000</v>
      </c>
      <c r="Y54" s="22">
        <v>3.1671230000000001</v>
      </c>
      <c r="Z54" s="4">
        <f>Table1[[#This Row],[totalTimeKept]]*$AD$3</f>
        <v>47506.845000000001</v>
      </c>
      <c r="AA54" s="4">
        <f>Y54-Z54</f>
        <v>-47503.677877000002</v>
      </c>
    </row>
    <row r="55" spans="1:27" x14ac:dyDescent="0.3">
      <c r="A55" s="1">
        <v>7098714</v>
      </c>
      <c r="B55" s="1" t="s">
        <v>131</v>
      </c>
      <c r="C55" s="1" t="s">
        <v>132</v>
      </c>
      <c r="D55" s="1">
        <v>1267718</v>
      </c>
      <c r="E55" s="1">
        <v>0</v>
      </c>
      <c r="F55" s="1" t="s">
        <v>24</v>
      </c>
      <c r="G55" s="1" t="s">
        <v>25</v>
      </c>
      <c r="H55" s="2">
        <v>38026</v>
      </c>
      <c r="I55" s="2">
        <v>43046</v>
      </c>
      <c r="J55" s="2" t="s">
        <v>25</v>
      </c>
      <c r="K55" s="3">
        <v>500000</v>
      </c>
      <c r="L55" s="3"/>
      <c r="M55" s="3">
        <v>-500000</v>
      </c>
      <c r="N55" s="1">
        <v>0</v>
      </c>
      <c r="O55" s="1">
        <v>1</v>
      </c>
      <c r="P55" s="1">
        <v>0</v>
      </c>
      <c r="Q55" s="3">
        <v>160000</v>
      </c>
      <c r="R55" s="3"/>
      <c r="S55" s="3">
        <v>-660000</v>
      </c>
      <c r="T55" s="1">
        <v>7.2849320000000004</v>
      </c>
      <c r="U55" s="3"/>
      <c r="V55" s="3"/>
      <c r="X55" s="1">
        <v>-660000</v>
      </c>
      <c r="Y55" s="22">
        <v>7.2849320000000004</v>
      </c>
      <c r="Z55" s="4">
        <f>Table1[[#This Row],[totalTimeKept]]*$AD$3</f>
        <v>109273.98000000001</v>
      </c>
      <c r="AA55" s="4">
        <f>Y55-Z55</f>
        <v>-109266.69506800002</v>
      </c>
    </row>
    <row r="56" spans="1:27" x14ac:dyDescent="0.3">
      <c r="A56" s="1">
        <v>7128556</v>
      </c>
      <c r="B56" s="1" t="s">
        <v>133</v>
      </c>
      <c r="C56" s="1" t="s">
        <v>134</v>
      </c>
      <c r="D56" s="1">
        <v>1366681</v>
      </c>
      <c r="E56" s="1">
        <v>0</v>
      </c>
      <c r="F56" s="1" t="s">
        <v>24</v>
      </c>
      <c r="G56" s="1" t="s">
        <v>25</v>
      </c>
      <c r="H56" s="2">
        <v>38052</v>
      </c>
      <c r="I56" s="2">
        <v>42309</v>
      </c>
      <c r="J56" s="1" t="s">
        <v>25</v>
      </c>
      <c r="K56" s="3">
        <v>550000</v>
      </c>
      <c r="L56" s="3"/>
      <c r="M56" s="3">
        <v>-550000</v>
      </c>
      <c r="N56" s="1">
        <v>0</v>
      </c>
      <c r="O56" s="1">
        <v>1</v>
      </c>
      <c r="P56" s="1">
        <v>0</v>
      </c>
      <c r="Q56" s="3">
        <v>427500</v>
      </c>
      <c r="R56" s="3"/>
      <c r="S56" s="3">
        <v>-977500</v>
      </c>
      <c r="T56" s="1">
        <v>9.3041099999999997</v>
      </c>
      <c r="U56" s="3">
        <v>517525</v>
      </c>
      <c r="V56" s="3">
        <v>180000</v>
      </c>
      <c r="W56" s="1">
        <v>16.134250000000002</v>
      </c>
      <c r="X56" s="1">
        <v>-459975</v>
      </c>
      <c r="Y56" s="22">
        <v>25.438359999999999</v>
      </c>
      <c r="Z56" s="4">
        <f>Table1[[#This Row],[totalTimeKept]]*$AD$3</f>
        <v>381575.39999999997</v>
      </c>
      <c r="AA56" s="4">
        <f>Y56-Z56</f>
        <v>-381549.96163999999</v>
      </c>
    </row>
    <row r="57" spans="1:27" x14ac:dyDescent="0.3">
      <c r="A57" s="1">
        <v>7167356</v>
      </c>
      <c r="B57" s="1" t="s">
        <v>135</v>
      </c>
      <c r="C57" s="1" t="s">
        <v>136</v>
      </c>
      <c r="E57" s="1">
        <v>0</v>
      </c>
      <c r="F57" s="1" t="s">
        <v>24</v>
      </c>
      <c r="G57" s="1" t="s">
        <v>25</v>
      </c>
      <c r="H57" s="2">
        <v>38092</v>
      </c>
      <c r="I57" s="2">
        <v>42309</v>
      </c>
      <c r="J57" s="2" t="s">
        <v>25</v>
      </c>
      <c r="K57" s="3">
        <v>500000</v>
      </c>
      <c r="L57" s="3"/>
      <c r="M57" s="3">
        <v>-500000</v>
      </c>
      <c r="N57" s="1">
        <v>0</v>
      </c>
      <c r="O57" s="1">
        <v>1</v>
      </c>
      <c r="P57" s="1">
        <v>0</v>
      </c>
      <c r="Q57" s="3">
        <v>185000</v>
      </c>
      <c r="R57" s="3"/>
      <c r="S57" s="3">
        <v>-685000</v>
      </c>
      <c r="T57" s="1">
        <v>9.3041099999999997</v>
      </c>
      <c r="U57" s="3">
        <v>637770.19999999995</v>
      </c>
      <c r="V57" s="3">
        <v>0</v>
      </c>
      <c r="W57" s="1">
        <v>9.1753420000000006</v>
      </c>
      <c r="X57" s="1">
        <v>-47229.84</v>
      </c>
      <c r="Y57" s="22">
        <v>18.47945</v>
      </c>
      <c r="Z57" s="4">
        <f>Table1[[#This Row],[totalTimeKept]]*$AD$3</f>
        <v>277191.75</v>
      </c>
      <c r="AA57" s="4">
        <f>Y57-Z57</f>
        <v>-277173.27055000002</v>
      </c>
    </row>
    <row r="58" spans="1:27" x14ac:dyDescent="0.3">
      <c r="A58" s="1">
        <v>7177687</v>
      </c>
      <c r="B58" s="1" t="s">
        <v>137</v>
      </c>
      <c r="C58" s="1" t="s">
        <v>138</v>
      </c>
      <c r="D58" s="1">
        <v>4657297</v>
      </c>
      <c r="E58" s="1">
        <v>0</v>
      </c>
      <c r="F58" s="1" t="s">
        <v>139</v>
      </c>
      <c r="G58" s="1" t="s">
        <v>24</v>
      </c>
      <c r="H58" s="2">
        <v>38100</v>
      </c>
      <c r="I58" s="2">
        <v>40490</v>
      </c>
      <c r="J58" s="2">
        <v>42688</v>
      </c>
      <c r="K58" s="3">
        <v>130000</v>
      </c>
      <c r="L58" s="3">
        <v>20000</v>
      </c>
      <c r="M58" s="3">
        <v>-110000</v>
      </c>
      <c r="N58" s="1">
        <v>0</v>
      </c>
      <c r="O58" s="1">
        <v>1</v>
      </c>
      <c r="P58" s="1">
        <v>1</v>
      </c>
      <c r="Q58" s="3">
        <v>122500</v>
      </c>
      <c r="R58" s="3"/>
      <c r="S58" s="3">
        <v>-232500</v>
      </c>
      <c r="T58" s="1">
        <v>6.0219180000000003</v>
      </c>
      <c r="U58" s="3">
        <v>255000</v>
      </c>
      <c r="V58" s="3">
        <v>0</v>
      </c>
      <c r="W58" s="1">
        <v>3.8219180000000001</v>
      </c>
      <c r="X58" s="1">
        <v>22500</v>
      </c>
      <c r="Y58" s="22">
        <v>9.8438359999999996</v>
      </c>
      <c r="Z58" s="4">
        <f>Table1[[#This Row],[totalTimeKept]]*$AD$3</f>
        <v>147657.54</v>
      </c>
      <c r="AA58" s="4">
        <f>Y58-Z58</f>
        <v>-147647.69616400002</v>
      </c>
    </row>
    <row r="59" spans="1:27" x14ac:dyDescent="0.3">
      <c r="A59" s="1">
        <v>7179253</v>
      </c>
      <c r="B59" s="1" t="s">
        <v>140</v>
      </c>
      <c r="C59" s="1" t="s">
        <v>141</v>
      </c>
      <c r="D59" s="1">
        <v>4012408</v>
      </c>
      <c r="E59" s="1">
        <v>0</v>
      </c>
      <c r="F59" s="1" t="s">
        <v>24</v>
      </c>
      <c r="G59" s="1" t="s">
        <v>24</v>
      </c>
      <c r="H59" s="2">
        <v>38049</v>
      </c>
      <c r="I59" s="2">
        <v>40857</v>
      </c>
      <c r="J59" s="2">
        <v>41587</v>
      </c>
      <c r="K59" s="3">
        <v>120000</v>
      </c>
      <c r="L59" s="3">
        <v>25000</v>
      </c>
      <c r="M59" s="3">
        <v>-95000</v>
      </c>
      <c r="N59" s="1">
        <v>0</v>
      </c>
      <c r="O59" s="1">
        <v>1</v>
      </c>
      <c r="P59" s="1">
        <v>1</v>
      </c>
      <c r="Q59" s="3">
        <v>15000</v>
      </c>
      <c r="R59" s="3"/>
      <c r="S59" s="3">
        <v>-110000</v>
      </c>
      <c r="T59" s="1">
        <v>2</v>
      </c>
      <c r="U59" s="3">
        <v>142000</v>
      </c>
      <c r="V59" s="3">
        <v>0</v>
      </c>
      <c r="W59" s="1">
        <v>3.016438</v>
      </c>
      <c r="X59" s="1">
        <v>32000</v>
      </c>
      <c r="Y59" s="22">
        <v>5.016438</v>
      </c>
      <c r="Z59" s="4">
        <f>Table1[[#This Row],[totalTimeKept]]*$AD$3</f>
        <v>75246.569999999992</v>
      </c>
      <c r="AA59" s="4">
        <f>Y59-Z59</f>
        <v>-75241.553561999986</v>
      </c>
    </row>
    <row r="60" spans="1:27" x14ac:dyDescent="0.3">
      <c r="A60" s="1">
        <v>7179569</v>
      </c>
      <c r="B60" s="1" t="s">
        <v>142</v>
      </c>
      <c r="C60" s="1" t="s">
        <v>143</v>
      </c>
      <c r="D60" s="1">
        <v>4008502</v>
      </c>
      <c r="E60" s="1">
        <v>0</v>
      </c>
      <c r="F60" s="1" t="s">
        <v>24</v>
      </c>
      <c r="G60" s="1" t="s">
        <v>25</v>
      </c>
      <c r="H60" s="2">
        <v>38102</v>
      </c>
      <c r="I60" s="2">
        <v>42682</v>
      </c>
      <c r="J60" s="2" t="s">
        <v>25</v>
      </c>
      <c r="K60" s="3">
        <v>100000</v>
      </c>
      <c r="L60" s="3"/>
      <c r="M60" s="3">
        <v>-100000</v>
      </c>
      <c r="N60" s="1">
        <v>0</v>
      </c>
      <c r="O60" s="1">
        <v>1</v>
      </c>
      <c r="P60" s="1">
        <v>0</v>
      </c>
      <c r="Q60" s="3">
        <v>50000</v>
      </c>
      <c r="R60" s="3"/>
      <c r="S60" s="3">
        <v>-150000</v>
      </c>
      <c r="T60" s="1">
        <v>8.2821920000000002</v>
      </c>
      <c r="U60" s="3">
        <v>211320</v>
      </c>
      <c r="V60" s="3">
        <v>0</v>
      </c>
      <c r="W60" s="1">
        <v>6.6109590000000003</v>
      </c>
      <c r="X60" s="1">
        <v>61320</v>
      </c>
      <c r="Y60" s="22">
        <v>14.89315</v>
      </c>
      <c r="Z60" s="4">
        <f>Table1[[#This Row],[totalTimeKept]]*$AD$3</f>
        <v>223397.25</v>
      </c>
      <c r="AA60" s="4">
        <f>Y60-Z60</f>
        <v>-223382.35685000001</v>
      </c>
    </row>
    <row r="61" spans="1:27" x14ac:dyDescent="0.3">
      <c r="A61" s="1">
        <v>7179912</v>
      </c>
      <c r="B61" s="1" t="s">
        <v>144</v>
      </c>
      <c r="C61" s="1" t="s">
        <v>145</v>
      </c>
      <c r="E61" s="1">
        <v>0</v>
      </c>
      <c r="F61" s="1" t="s">
        <v>24</v>
      </c>
      <c r="G61" s="1" t="s">
        <v>25</v>
      </c>
      <c r="H61" s="2">
        <v>38059</v>
      </c>
      <c r="I61" s="2">
        <v>43777</v>
      </c>
      <c r="J61" s="2" t="s">
        <v>25</v>
      </c>
      <c r="K61" s="3">
        <v>85000</v>
      </c>
      <c r="L61" s="3"/>
      <c r="M61" s="3">
        <v>-85000</v>
      </c>
      <c r="N61" s="1">
        <v>0</v>
      </c>
      <c r="O61" s="1">
        <v>1</v>
      </c>
      <c r="P61" s="1">
        <v>0</v>
      </c>
      <c r="Q61" s="3">
        <v>144525.5</v>
      </c>
      <c r="R61" s="3"/>
      <c r="S61" s="3">
        <v>-229525.5</v>
      </c>
      <c r="T61" s="1">
        <v>5.2821920000000002</v>
      </c>
      <c r="U61" s="3">
        <v>475000</v>
      </c>
      <c r="V61" s="3">
        <v>0</v>
      </c>
      <c r="W61" s="1">
        <v>2.7068490000000001</v>
      </c>
      <c r="X61" s="1">
        <v>245474.5</v>
      </c>
      <c r="Y61" s="22">
        <v>7.9890410000000003</v>
      </c>
      <c r="Z61" s="4">
        <f>Table1[[#This Row],[totalTimeKept]]*$AD$3</f>
        <v>119835.61500000001</v>
      </c>
      <c r="AA61" s="4">
        <f>Y61-Z61</f>
        <v>-119827.62595900001</v>
      </c>
    </row>
    <row r="62" spans="1:27" x14ac:dyDescent="0.3">
      <c r="A62" s="1">
        <v>7207486</v>
      </c>
      <c r="B62" s="1" t="s">
        <v>146</v>
      </c>
      <c r="C62" s="1" t="s">
        <v>147</v>
      </c>
      <c r="D62" s="1">
        <v>4056807</v>
      </c>
      <c r="E62" s="1">
        <v>0</v>
      </c>
      <c r="F62" s="1" t="s">
        <v>24</v>
      </c>
      <c r="G62" s="1" t="s">
        <v>25</v>
      </c>
      <c r="H62" s="2">
        <v>38066</v>
      </c>
      <c r="I62" s="2">
        <v>43777</v>
      </c>
      <c r="J62" s="2" t="s">
        <v>25</v>
      </c>
      <c r="K62" s="3">
        <v>100000</v>
      </c>
      <c r="L62" s="3"/>
      <c r="M62" s="3">
        <v>-100000</v>
      </c>
      <c r="N62" s="1">
        <v>0</v>
      </c>
      <c r="O62" s="1">
        <v>1</v>
      </c>
      <c r="P62" s="1">
        <v>0</v>
      </c>
      <c r="Q62" s="3">
        <v>24525.55</v>
      </c>
      <c r="R62" s="3"/>
      <c r="S62" s="3">
        <v>-124525.5</v>
      </c>
      <c r="T62" s="1">
        <v>5.2821920000000002</v>
      </c>
      <c r="U62" s="3">
        <v>190000</v>
      </c>
      <c r="V62" s="3">
        <v>0</v>
      </c>
      <c r="W62" s="1">
        <v>2.1753429999999998</v>
      </c>
      <c r="X62" s="1">
        <v>65474.45</v>
      </c>
      <c r="Y62" s="22">
        <v>7.4575339999999999</v>
      </c>
      <c r="Z62" s="4">
        <f>Table1[[#This Row],[totalTimeKept]]*$AD$3</f>
        <v>111863.01</v>
      </c>
      <c r="AA62" s="4">
        <f>Y62-Z62</f>
        <v>-111855.55246599999</v>
      </c>
    </row>
    <row r="63" spans="1:27" x14ac:dyDescent="0.3">
      <c r="A63" s="1">
        <v>7222490</v>
      </c>
      <c r="B63" s="1" t="s">
        <v>148</v>
      </c>
      <c r="C63" s="1" t="s">
        <v>149</v>
      </c>
      <c r="D63" s="1">
        <v>905295</v>
      </c>
      <c r="E63" s="1">
        <v>0</v>
      </c>
      <c r="F63" s="1" t="s">
        <v>24</v>
      </c>
      <c r="G63" s="1" t="s">
        <v>24</v>
      </c>
      <c r="H63" s="2">
        <v>38107</v>
      </c>
      <c r="I63" s="2">
        <v>43048</v>
      </c>
      <c r="J63" s="2">
        <v>43388</v>
      </c>
      <c r="K63" s="3">
        <v>85000</v>
      </c>
      <c r="L63" s="3">
        <v>31000</v>
      </c>
      <c r="M63" s="3">
        <v>-54000</v>
      </c>
      <c r="N63" s="1">
        <v>0</v>
      </c>
      <c r="O63" s="1">
        <v>1</v>
      </c>
      <c r="P63" s="1">
        <v>1</v>
      </c>
      <c r="Q63" s="3">
        <v>0</v>
      </c>
      <c r="R63" s="3"/>
      <c r="S63" s="3">
        <v>-54000</v>
      </c>
      <c r="T63" s="1">
        <v>0.93150690000000003</v>
      </c>
      <c r="U63" s="3">
        <v>230000</v>
      </c>
      <c r="V63" s="3">
        <v>0</v>
      </c>
      <c r="W63" s="1">
        <v>1.517808</v>
      </c>
      <c r="X63" s="1">
        <v>176000</v>
      </c>
      <c r="Y63" s="22">
        <v>2.4493149999999999</v>
      </c>
      <c r="Z63" s="4">
        <f>Table1[[#This Row],[totalTimeKept]]*$AD$3</f>
        <v>36739.724999999999</v>
      </c>
      <c r="AA63" s="4">
        <f>Y63-Z63</f>
        <v>-36737.275685000001</v>
      </c>
    </row>
    <row r="64" spans="1:27" x14ac:dyDescent="0.3">
      <c r="A64" s="1">
        <v>7265745</v>
      </c>
      <c r="B64" s="1" t="s">
        <v>150</v>
      </c>
      <c r="C64" s="1" t="s">
        <v>151</v>
      </c>
      <c r="D64" s="1">
        <v>1603489</v>
      </c>
      <c r="E64" s="1">
        <v>0</v>
      </c>
      <c r="F64" s="1" t="s">
        <v>139</v>
      </c>
      <c r="G64" s="1" t="s">
        <v>24</v>
      </c>
      <c r="H64" s="2">
        <v>38036</v>
      </c>
      <c r="I64" s="2">
        <v>40511</v>
      </c>
      <c r="J64" s="2">
        <v>41247</v>
      </c>
      <c r="K64" s="3">
        <v>114616</v>
      </c>
      <c r="L64" s="3">
        <v>143612</v>
      </c>
      <c r="M64" s="3">
        <v>28996</v>
      </c>
      <c r="N64" s="1">
        <v>0</v>
      </c>
      <c r="O64" s="1">
        <v>1</v>
      </c>
      <c r="P64" s="1">
        <v>1</v>
      </c>
      <c r="Q64" s="3">
        <v>11153.85</v>
      </c>
      <c r="R64" s="3"/>
      <c r="S64" s="3">
        <v>17842.150000000001</v>
      </c>
      <c r="T64" s="1">
        <v>2.016438</v>
      </c>
      <c r="U64" s="3"/>
      <c r="V64" s="3"/>
      <c r="X64" s="1">
        <v>17842.150000000001</v>
      </c>
      <c r="Y64" s="22">
        <v>2.016438</v>
      </c>
      <c r="Z64" s="4">
        <f>Table1[[#This Row],[totalTimeKept]]*$AD$3</f>
        <v>30246.57</v>
      </c>
      <c r="AA64" s="4">
        <f>Y64-Z64</f>
        <v>-30244.553562000001</v>
      </c>
    </row>
    <row r="65" spans="1:27" x14ac:dyDescent="0.3">
      <c r="A65" s="1">
        <v>7374648</v>
      </c>
      <c r="B65" s="1" t="s">
        <v>152</v>
      </c>
      <c r="C65" s="1" t="s">
        <v>153</v>
      </c>
      <c r="D65" s="1">
        <v>5033180</v>
      </c>
      <c r="E65" s="1">
        <v>0</v>
      </c>
      <c r="F65" s="1" t="s">
        <v>24</v>
      </c>
      <c r="G65" s="1" t="s">
        <v>25</v>
      </c>
      <c r="H65" s="2">
        <v>38368</v>
      </c>
      <c r="I65" s="2">
        <v>43777</v>
      </c>
      <c r="J65" s="2" t="s">
        <v>25</v>
      </c>
      <c r="K65" s="3">
        <v>150000</v>
      </c>
      <c r="L65" s="3"/>
      <c r="M65" s="3">
        <v>-150000</v>
      </c>
      <c r="N65" s="1">
        <v>0</v>
      </c>
      <c r="O65" s="1">
        <v>1</v>
      </c>
      <c r="P65" s="1">
        <v>0</v>
      </c>
      <c r="Q65" s="3">
        <v>155000</v>
      </c>
      <c r="R65" s="3"/>
      <c r="S65" s="3">
        <v>-305000</v>
      </c>
      <c r="T65" s="1">
        <v>5.2821920000000002</v>
      </c>
      <c r="U65" s="3">
        <v>207000</v>
      </c>
      <c r="V65" s="3">
        <v>0</v>
      </c>
      <c r="W65" s="1">
        <v>1.2219180000000001</v>
      </c>
      <c r="X65" s="1">
        <v>-98000</v>
      </c>
      <c r="Y65" s="22">
        <v>6.5041089999999997</v>
      </c>
      <c r="Z65" s="4">
        <f>Table1[[#This Row],[totalTimeKept]]*$AD$3</f>
        <v>97561.634999999995</v>
      </c>
      <c r="AA65" s="4">
        <f>Y65-Z65</f>
        <v>-97555.130890999993</v>
      </c>
    </row>
    <row r="66" spans="1:27" x14ac:dyDescent="0.3">
      <c r="A66" s="1">
        <v>7380864</v>
      </c>
      <c r="B66" s="1" t="s">
        <v>154</v>
      </c>
      <c r="C66" s="1" t="s">
        <v>47</v>
      </c>
      <c r="D66" s="1">
        <v>4494884</v>
      </c>
      <c r="E66" s="1">
        <v>0</v>
      </c>
      <c r="F66" s="1" t="s">
        <v>24</v>
      </c>
      <c r="G66" s="1" t="s">
        <v>25</v>
      </c>
      <c r="H66" s="2">
        <v>38380</v>
      </c>
      <c r="I66" s="2">
        <v>42683</v>
      </c>
      <c r="J66" s="2" t="s">
        <v>25</v>
      </c>
      <c r="K66" s="3">
        <v>650000</v>
      </c>
      <c r="L66" s="3"/>
      <c r="M66" s="3">
        <v>-650000</v>
      </c>
      <c r="N66" s="1">
        <v>0</v>
      </c>
      <c r="O66" s="1">
        <v>1</v>
      </c>
      <c r="P66" s="1">
        <v>0</v>
      </c>
      <c r="Q66" s="3">
        <v>182500</v>
      </c>
      <c r="R66" s="3"/>
      <c r="S66" s="3">
        <v>-832500</v>
      </c>
      <c r="T66" s="1">
        <v>8.2794519999999991</v>
      </c>
      <c r="U66" s="3">
        <v>1045000</v>
      </c>
      <c r="V66" s="3">
        <v>0</v>
      </c>
      <c r="W66" s="1">
        <v>1.958904</v>
      </c>
      <c r="X66" s="1">
        <v>212500</v>
      </c>
      <c r="Y66" s="22">
        <v>10.23836</v>
      </c>
      <c r="Z66" s="4">
        <f>Table1[[#This Row],[totalTimeKept]]*$AD$3</f>
        <v>153575.4</v>
      </c>
      <c r="AA66" s="4">
        <f>Y66-Z66</f>
        <v>-153565.16164000001</v>
      </c>
    </row>
    <row r="67" spans="1:27" x14ac:dyDescent="0.3">
      <c r="A67" s="1">
        <v>7407961</v>
      </c>
      <c r="B67" s="1" t="s">
        <v>155</v>
      </c>
      <c r="C67" s="1" t="s">
        <v>156</v>
      </c>
      <c r="D67" s="1">
        <v>4634107</v>
      </c>
      <c r="E67" s="1">
        <v>0</v>
      </c>
      <c r="F67" s="1" t="s">
        <v>24</v>
      </c>
      <c r="G67" s="1" t="s">
        <v>24</v>
      </c>
      <c r="H67" s="2">
        <v>38411</v>
      </c>
      <c r="I67" s="2">
        <v>43408</v>
      </c>
      <c r="J67" s="2">
        <v>44207</v>
      </c>
      <c r="K67" s="3">
        <v>130000</v>
      </c>
      <c r="L67" s="3">
        <v>13000</v>
      </c>
      <c r="M67" s="3">
        <v>-117000</v>
      </c>
      <c r="N67" s="1">
        <v>0</v>
      </c>
      <c r="O67" s="1">
        <v>1</v>
      </c>
      <c r="P67" s="1">
        <v>1</v>
      </c>
      <c r="Q67" s="3">
        <v>45000</v>
      </c>
      <c r="R67" s="3"/>
      <c r="S67" s="3">
        <v>-162000</v>
      </c>
      <c r="T67" s="1">
        <v>2.189041</v>
      </c>
      <c r="U67" s="3">
        <v>48000</v>
      </c>
      <c r="V67" s="3">
        <v>0</v>
      </c>
      <c r="W67" s="1">
        <v>0.69315070000000001</v>
      </c>
      <c r="X67" s="1">
        <v>-114000</v>
      </c>
      <c r="Y67" s="22">
        <v>2.8821919999999999</v>
      </c>
      <c r="Z67" s="4">
        <f>Table1[[#This Row],[totalTimeKept]]*$AD$3</f>
        <v>43232.88</v>
      </c>
      <c r="AA67" s="4">
        <f>Y67-Z67</f>
        <v>-43229.997808</v>
      </c>
    </row>
    <row r="68" spans="1:27" x14ac:dyDescent="0.3">
      <c r="A68" s="1">
        <v>7415009</v>
      </c>
      <c r="B68" s="1" t="s">
        <v>157</v>
      </c>
      <c r="C68" s="1" t="s">
        <v>158</v>
      </c>
      <c r="D68" s="1">
        <v>1183457</v>
      </c>
      <c r="E68" s="1">
        <v>0</v>
      </c>
      <c r="F68" s="1" t="s">
        <v>24</v>
      </c>
      <c r="G68" s="1" t="s">
        <v>24</v>
      </c>
      <c r="H68" s="2">
        <v>38419</v>
      </c>
      <c r="I68" s="2">
        <v>41586</v>
      </c>
      <c r="J68" s="2">
        <v>42314</v>
      </c>
      <c r="K68" s="3">
        <v>150000</v>
      </c>
      <c r="L68" s="3">
        <v>10000</v>
      </c>
      <c r="M68" s="3">
        <v>-140000</v>
      </c>
      <c r="N68" s="1">
        <v>0</v>
      </c>
      <c r="O68" s="1">
        <v>1</v>
      </c>
      <c r="P68" s="1">
        <v>1</v>
      </c>
      <c r="Q68" s="3">
        <v>15000</v>
      </c>
      <c r="R68" s="3"/>
      <c r="S68" s="3">
        <v>-155000</v>
      </c>
      <c r="T68" s="1">
        <v>1.994521</v>
      </c>
      <c r="U68" s="3">
        <v>12200</v>
      </c>
      <c r="V68" s="3">
        <v>0</v>
      </c>
      <c r="W68" s="1">
        <v>2.2630140000000001</v>
      </c>
      <c r="X68" s="1">
        <v>-142800</v>
      </c>
      <c r="Y68" s="22">
        <v>4.2575339999999997</v>
      </c>
      <c r="Z68" s="4">
        <f>Table1[[#This Row],[totalTimeKept]]*$AD$3</f>
        <v>63863.009999999995</v>
      </c>
      <c r="AA68" s="4">
        <f>Y68-Z68</f>
        <v>-63858.752465999998</v>
      </c>
    </row>
    <row r="69" spans="1:27" x14ac:dyDescent="0.3">
      <c r="A69" s="1">
        <v>7425422</v>
      </c>
      <c r="B69" s="1" t="s">
        <v>159</v>
      </c>
      <c r="C69" s="1" t="s">
        <v>160</v>
      </c>
      <c r="D69" s="1">
        <v>1419658</v>
      </c>
      <c r="E69" s="1">
        <v>0</v>
      </c>
      <c r="F69" s="1" t="s">
        <v>139</v>
      </c>
      <c r="G69" s="1" t="s">
        <v>24</v>
      </c>
      <c r="H69" s="2">
        <v>38437</v>
      </c>
      <c r="I69" s="2">
        <v>40853</v>
      </c>
      <c r="J69" s="2">
        <v>41584</v>
      </c>
      <c r="K69" s="3">
        <v>800000</v>
      </c>
      <c r="L69" s="3">
        <v>1800000</v>
      </c>
      <c r="M69" s="3">
        <v>1000000</v>
      </c>
      <c r="N69" s="1">
        <v>0</v>
      </c>
      <c r="O69" s="1">
        <v>1</v>
      </c>
      <c r="P69" s="1">
        <v>1</v>
      </c>
      <c r="Q69" s="3">
        <v>85000</v>
      </c>
      <c r="R69" s="3"/>
      <c r="S69" s="3">
        <v>915000</v>
      </c>
      <c r="T69" s="1">
        <v>2.0027400000000002</v>
      </c>
      <c r="U69" s="3">
        <v>200000</v>
      </c>
      <c r="V69" s="3">
        <v>0</v>
      </c>
      <c r="W69" s="1">
        <v>1.4465749999999999</v>
      </c>
      <c r="X69" s="1">
        <v>1115000</v>
      </c>
      <c r="Y69" s="22">
        <v>3.4493149999999999</v>
      </c>
      <c r="Z69" s="4">
        <f>Table1[[#This Row],[totalTimeKept]]*$AD$3</f>
        <v>51739.724999999999</v>
      </c>
      <c r="AA69" s="4">
        <f>Y69-Z69</f>
        <v>-51736.275685000001</v>
      </c>
    </row>
    <row r="70" spans="1:27" x14ac:dyDescent="0.3">
      <c r="A70" s="1">
        <v>7443895</v>
      </c>
      <c r="B70" s="1" t="s">
        <v>161</v>
      </c>
      <c r="C70" s="1" t="s">
        <v>162</v>
      </c>
      <c r="D70" s="1">
        <v>1418474</v>
      </c>
      <c r="E70" s="1">
        <v>0</v>
      </c>
      <c r="F70" s="1" t="s">
        <v>24</v>
      </c>
      <c r="G70" s="1" t="s">
        <v>25</v>
      </c>
      <c r="H70" s="2">
        <v>38435</v>
      </c>
      <c r="I70" s="2">
        <v>43136</v>
      </c>
      <c r="J70" s="2" t="s">
        <v>25</v>
      </c>
      <c r="K70" s="3">
        <v>150000</v>
      </c>
      <c r="L70" s="3"/>
      <c r="M70" s="3">
        <v>-150000</v>
      </c>
      <c r="N70" s="1">
        <v>0</v>
      </c>
      <c r="O70" s="1">
        <v>1</v>
      </c>
      <c r="P70" s="1">
        <v>0</v>
      </c>
      <c r="Q70" s="3">
        <v>197925.9</v>
      </c>
      <c r="R70" s="3"/>
      <c r="S70" s="3">
        <v>-347925.9</v>
      </c>
      <c r="T70" s="1">
        <v>7.0383560000000003</v>
      </c>
      <c r="U70" s="3">
        <v>1067000</v>
      </c>
      <c r="V70" s="3">
        <v>0</v>
      </c>
      <c r="W70" s="1">
        <v>6.9890410000000003</v>
      </c>
      <c r="X70" s="1">
        <v>719074.1</v>
      </c>
      <c r="Y70" s="22">
        <v>14.0274</v>
      </c>
      <c r="Z70" s="4">
        <f>Table1[[#This Row],[totalTimeKept]]*$AD$3</f>
        <v>210411</v>
      </c>
      <c r="AA70" s="4">
        <f>Y70-Z70</f>
        <v>-210396.97260000001</v>
      </c>
    </row>
    <row r="71" spans="1:27" x14ac:dyDescent="0.3">
      <c r="A71" s="1">
        <v>7454932</v>
      </c>
      <c r="B71" s="1" t="s">
        <v>163</v>
      </c>
      <c r="C71" s="1" t="s">
        <v>164</v>
      </c>
      <c r="D71" s="1">
        <v>1432645</v>
      </c>
      <c r="E71" s="1">
        <v>0</v>
      </c>
      <c r="F71" s="1" t="s">
        <v>24</v>
      </c>
      <c r="G71" s="1" t="s">
        <v>24</v>
      </c>
      <c r="H71" s="2">
        <v>38465</v>
      </c>
      <c r="I71" s="2">
        <v>43049</v>
      </c>
      <c r="J71" s="2">
        <v>43412</v>
      </c>
      <c r="K71" s="3">
        <v>135000</v>
      </c>
      <c r="L71" s="3">
        <v>24000</v>
      </c>
      <c r="M71" s="3">
        <v>-111000</v>
      </c>
      <c r="N71" s="1">
        <v>0</v>
      </c>
      <c r="O71" s="1">
        <v>1</v>
      </c>
      <c r="P71" s="1">
        <v>1</v>
      </c>
      <c r="Q71" s="3">
        <v>0</v>
      </c>
      <c r="R71" s="3"/>
      <c r="S71" s="3">
        <v>-111000</v>
      </c>
      <c r="T71" s="1">
        <v>0.99452050000000003</v>
      </c>
      <c r="U71" s="3">
        <v>75000</v>
      </c>
      <c r="V71" s="3">
        <v>0</v>
      </c>
      <c r="W71" s="1">
        <v>0.86027399999999998</v>
      </c>
      <c r="X71" s="1">
        <v>-36000</v>
      </c>
      <c r="Y71" s="22">
        <v>1.854795</v>
      </c>
      <c r="Z71" s="4">
        <f>Table1[[#This Row],[totalTimeKept]]*$AD$3</f>
        <v>27821.924999999999</v>
      </c>
      <c r="AA71" s="4">
        <f>Y71-Z71</f>
        <v>-27820.070205</v>
      </c>
    </row>
    <row r="72" spans="1:27" x14ac:dyDescent="0.3">
      <c r="A72" s="1">
        <v>7458999</v>
      </c>
      <c r="B72" s="1" t="s">
        <v>165</v>
      </c>
      <c r="C72" s="1" t="s">
        <v>166</v>
      </c>
      <c r="E72" s="1">
        <v>0</v>
      </c>
      <c r="F72" s="1" t="s">
        <v>24</v>
      </c>
      <c r="G72" s="1" t="s">
        <v>24</v>
      </c>
      <c r="H72" s="2">
        <v>38452</v>
      </c>
      <c r="I72" s="2">
        <v>42317</v>
      </c>
      <c r="J72" s="2">
        <v>43048</v>
      </c>
      <c r="K72" s="3">
        <v>40000</v>
      </c>
      <c r="L72" s="3">
        <v>50000</v>
      </c>
      <c r="M72" s="3">
        <v>10000</v>
      </c>
      <c r="N72" s="1">
        <v>0</v>
      </c>
      <c r="O72" s="1">
        <v>1</v>
      </c>
      <c r="P72" s="1">
        <v>1</v>
      </c>
      <c r="Q72" s="3">
        <v>140000</v>
      </c>
      <c r="R72" s="3"/>
      <c r="S72" s="3">
        <v>-130000</v>
      </c>
      <c r="T72" s="1">
        <v>2.0027400000000002</v>
      </c>
      <c r="U72" s="3">
        <v>200000</v>
      </c>
      <c r="V72" s="3">
        <v>0</v>
      </c>
      <c r="W72" s="1">
        <v>0.75616439999999996</v>
      </c>
      <c r="X72" s="1">
        <v>70000</v>
      </c>
      <c r="Y72" s="22">
        <v>2.7589039999999998</v>
      </c>
      <c r="Z72" s="4">
        <f>Table1[[#This Row],[totalTimeKept]]*$AD$3</f>
        <v>41383.56</v>
      </c>
      <c r="AA72" s="4">
        <f>Y72-Z72</f>
        <v>-41380.801095999996</v>
      </c>
    </row>
    <row r="73" spans="1:27" x14ac:dyDescent="0.3">
      <c r="A73" s="1">
        <v>7459596</v>
      </c>
      <c r="B73" s="1" t="s">
        <v>167</v>
      </c>
      <c r="C73" s="1" t="s">
        <v>168</v>
      </c>
      <c r="D73" s="1">
        <v>6126600</v>
      </c>
      <c r="E73" s="1">
        <v>0</v>
      </c>
      <c r="F73" s="1" t="s">
        <v>139</v>
      </c>
      <c r="G73" s="1" t="s">
        <v>25</v>
      </c>
      <c r="H73" s="2">
        <v>38433</v>
      </c>
      <c r="I73" s="2">
        <v>40491</v>
      </c>
      <c r="J73" s="1" t="s">
        <v>25</v>
      </c>
      <c r="K73" s="3">
        <v>205000</v>
      </c>
      <c r="L73" s="3"/>
      <c r="M73" s="3">
        <v>-205000</v>
      </c>
      <c r="N73" s="1">
        <v>0</v>
      </c>
      <c r="O73" s="1">
        <v>1</v>
      </c>
      <c r="P73" s="1">
        <v>0</v>
      </c>
      <c r="Q73" s="3">
        <v>20000</v>
      </c>
      <c r="R73" s="3"/>
      <c r="S73" s="3">
        <v>-225000</v>
      </c>
      <c r="T73" s="1">
        <v>14.284929999999999</v>
      </c>
      <c r="U73" s="3">
        <v>40000</v>
      </c>
      <c r="V73" s="3">
        <v>0</v>
      </c>
      <c r="W73" s="1">
        <v>2.328767</v>
      </c>
      <c r="X73" s="1">
        <v>-185000</v>
      </c>
      <c r="Y73" s="22">
        <v>16.613700000000001</v>
      </c>
      <c r="Z73" s="4">
        <f>Table1[[#This Row],[totalTimeKept]]*$AD$3</f>
        <v>249205.50000000003</v>
      </c>
      <c r="AA73" s="4">
        <f>Y73-Z73</f>
        <v>-249188.88630000004</v>
      </c>
    </row>
    <row r="74" spans="1:27" x14ac:dyDescent="0.3">
      <c r="A74" s="1">
        <v>7471287</v>
      </c>
      <c r="B74" s="1" t="s">
        <v>169</v>
      </c>
      <c r="C74" s="1" t="s">
        <v>170</v>
      </c>
      <c r="D74" s="1">
        <v>4031023</v>
      </c>
      <c r="E74" s="1">
        <v>0</v>
      </c>
      <c r="F74" s="1" t="s">
        <v>24</v>
      </c>
      <c r="G74" s="1" t="s">
        <v>25</v>
      </c>
      <c r="H74" s="2">
        <v>38480</v>
      </c>
      <c r="I74" s="2">
        <v>43775</v>
      </c>
      <c r="J74" s="2" t="s">
        <v>25</v>
      </c>
      <c r="K74" s="3">
        <v>385000</v>
      </c>
      <c r="L74" s="3"/>
      <c r="M74" s="3">
        <v>-385000</v>
      </c>
      <c r="N74" s="1">
        <v>0</v>
      </c>
      <c r="O74" s="1">
        <v>1</v>
      </c>
      <c r="P74" s="1">
        <v>0</v>
      </c>
      <c r="Q74" s="3">
        <v>530000</v>
      </c>
      <c r="R74" s="3"/>
      <c r="S74" s="3">
        <v>-915000</v>
      </c>
      <c r="T74" s="1">
        <v>5.2876709999999996</v>
      </c>
      <c r="U74" s="3">
        <v>1175000</v>
      </c>
      <c r="V74" s="3">
        <v>0</v>
      </c>
      <c r="W74" s="1">
        <v>2.950685</v>
      </c>
      <c r="X74" s="1">
        <v>260000</v>
      </c>
      <c r="Y74" s="22">
        <v>8.2383559999999996</v>
      </c>
      <c r="Z74" s="4">
        <f>Table1[[#This Row],[totalTimeKept]]*$AD$3</f>
        <v>123575.34</v>
      </c>
      <c r="AA74" s="4">
        <f>Y74-Z74</f>
        <v>-123567.10164399999</v>
      </c>
    </row>
    <row r="75" spans="1:27" x14ac:dyDescent="0.3">
      <c r="A75" s="1">
        <v>7485686</v>
      </c>
      <c r="B75" s="1" t="s">
        <v>171</v>
      </c>
      <c r="C75" s="1" t="s">
        <v>172</v>
      </c>
      <c r="D75" s="1">
        <v>1132671</v>
      </c>
      <c r="E75" s="1">
        <v>0</v>
      </c>
      <c r="F75" s="1" t="s">
        <v>139</v>
      </c>
      <c r="G75" s="1" t="s">
        <v>24</v>
      </c>
      <c r="H75" s="2">
        <v>38481</v>
      </c>
      <c r="I75" s="2">
        <v>40853</v>
      </c>
      <c r="J75" s="2">
        <v>43872</v>
      </c>
      <c r="K75" s="3">
        <v>200000</v>
      </c>
      <c r="L75" s="3">
        <v>31000</v>
      </c>
      <c r="M75" s="3">
        <v>-169000</v>
      </c>
      <c r="N75" s="1">
        <v>0</v>
      </c>
      <c r="O75" s="1">
        <v>1</v>
      </c>
      <c r="P75" s="1">
        <v>1</v>
      </c>
      <c r="Q75" s="3">
        <v>210000</v>
      </c>
      <c r="R75" s="3"/>
      <c r="S75" s="3">
        <v>-379000</v>
      </c>
      <c r="T75" s="1">
        <v>8.2712330000000005</v>
      </c>
      <c r="U75" s="3">
        <v>359000</v>
      </c>
      <c r="V75" s="3">
        <v>275000</v>
      </c>
      <c r="W75" s="1">
        <v>6.4438360000000001</v>
      </c>
      <c r="X75" s="1">
        <v>-20000</v>
      </c>
      <c r="Y75" s="22">
        <v>14.715070000000001</v>
      </c>
      <c r="Z75" s="4">
        <f>Table1[[#This Row],[totalTimeKept]]*$AD$3</f>
        <v>220726.05000000002</v>
      </c>
      <c r="AA75" s="4">
        <f>Y75-Z75</f>
        <v>-220711.33493000001</v>
      </c>
    </row>
    <row r="76" spans="1:27" x14ac:dyDescent="0.3">
      <c r="A76" s="1">
        <v>7488349</v>
      </c>
      <c r="B76" s="1" t="s">
        <v>173</v>
      </c>
      <c r="C76" s="1" t="s">
        <v>174</v>
      </c>
      <c r="D76" s="1">
        <v>5828497</v>
      </c>
      <c r="E76" s="1">
        <v>0</v>
      </c>
      <c r="F76" s="1" t="s">
        <v>24</v>
      </c>
      <c r="G76" s="1" t="s">
        <v>25</v>
      </c>
      <c r="H76" s="2">
        <v>38466</v>
      </c>
      <c r="I76" s="2">
        <v>43410</v>
      </c>
      <c r="J76" s="2" t="s">
        <v>25</v>
      </c>
      <c r="K76" s="3">
        <v>275000</v>
      </c>
      <c r="L76" s="3"/>
      <c r="M76" s="3">
        <v>-275000</v>
      </c>
      <c r="N76" s="1">
        <v>0</v>
      </c>
      <c r="O76" s="1">
        <v>1</v>
      </c>
      <c r="P76" s="1">
        <v>0</v>
      </c>
      <c r="Q76" s="3">
        <v>515259.3</v>
      </c>
      <c r="R76" s="3"/>
      <c r="S76" s="3">
        <v>-790259.3</v>
      </c>
      <c r="T76" s="1">
        <v>6.2876709999999996</v>
      </c>
      <c r="U76" s="3">
        <v>504100</v>
      </c>
      <c r="V76" s="3">
        <v>0</v>
      </c>
      <c r="W76" s="1">
        <v>6.4191779999999996</v>
      </c>
      <c r="X76" s="1">
        <v>-286159.3</v>
      </c>
      <c r="Y76" s="22">
        <v>12.706849999999999</v>
      </c>
      <c r="Z76" s="4">
        <f>Table1[[#This Row],[totalTimeKept]]*$AD$3</f>
        <v>190602.75</v>
      </c>
      <c r="AA76" s="4">
        <f>Y76-Z76</f>
        <v>-190590.04315000001</v>
      </c>
    </row>
    <row r="77" spans="1:27" x14ac:dyDescent="0.3">
      <c r="A77" s="1">
        <v>7493049</v>
      </c>
      <c r="B77" s="1" t="s">
        <v>175</v>
      </c>
      <c r="C77" s="1" t="s">
        <v>176</v>
      </c>
      <c r="D77" s="1">
        <v>1444885</v>
      </c>
      <c r="E77" s="1">
        <v>0</v>
      </c>
      <c r="F77" s="1" t="s">
        <v>24</v>
      </c>
      <c r="G77" s="1" t="s">
        <v>25</v>
      </c>
      <c r="H77" s="2">
        <v>38491</v>
      </c>
      <c r="I77" s="2">
        <v>43409</v>
      </c>
      <c r="J77" s="2" t="s">
        <v>25</v>
      </c>
      <c r="K77" s="3">
        <v>140000</v>
      </c>
      <c r="L77" s="3"/>
      <c r="M77" s="3">
        <v>-140000</v>
      </c>
      <c r="N77" s="1">
        <v>0</v>
      </c>
      <c r="O77" s="1">
        <v>1</v>
      </c>
      <c r="P77" s="1">
        <v>0</v>
      </c>
      <c r="Q77" s="3">
        <v>115000</v>
      </c>
      <c r="R77" s="3"/>
      <c r="S77" s="3">
        <v>-255000</v>
      </c>
      <c r="T77" s="1">
        <v>6.2904109999999998</v>
      </c>
      <c r="U77" s="3">
        <v>155000</v>
      </c>
      <c r="V77" s="3">
        <v>0</v>
      </c>
      <c r="W77" s="1">
        <v>2.5095890000000001</v>
      </c>
      <c r="X77" s="1">
        <v>-100000</v>
      </c>
      <c r="Y77" s="22">
        <v>8.8000000000000007</v>
      </c>
      <c r="Z77" s="4">
        <f>Table1[[#This Row],[totalTimeKept]]*$AD$3</f>
        <v>132000</v>
      </c>
      <c r="AA77" s="4">
        <f>Y77-Z77</f>
        <v>-131991.20000000001</v>
      </c>
    </row>
    <row r="78" spans="1:27" x14ac:dyDescent="0.3">
      <c r="A78" s="1">
        <v>7506329</v>
      </c>
      <c r="B78" s="1" t="s">
        <v>177</v>
      </c>
      <c r="C78" s="1" t="s">
        <v>178</v>
      </c>
      <c r="D78" s="1">
        <v>4008097</v>
      </c>
      <c r="E78" s="1">
        <v>0</v>
      </c>
      <c r="F78" s="1" t="s">
        <v>24</v>
      </c>
      <c r="G78" s="1" t="s">
        <v>24</v>
      </c>
      <c r="H78" s="2">
        <v>38419</v>
      </c>
      <c r="I78" s="2">
        <v>41586</v>
      </c>
      <c r="J78" s="2">
        <v>41951</v>
      </c>
      <c r="K78" s="3">
        <v>145000</v>
      </c>
      <c r="L78" s="3">
        <v>57000</v>
      </c>
      <c r="M78" s="3">
        <v>-88000</v>
      </c>
      <c r="N78" s="1">
        <v>0</v>
      </c>
      <c r="O78" s="1">
        <v>1</v>
      </c>
      <c r="P78" s="1">
        <v>1</v>
      </c>
      <c r="Q78" s="3">
        <v>0</v>
      </c>
      <c r="R78" s="3"/>
      <c r="S78" s="3">
        <v>-88000</v>
      </c>
      <c r="T78" s="1">
        <v>1</v>
      </c>
      <c r="U78" s="3">
        <v>150000</v>
      </c>
      <c r="V78" s="3">
        <v>0</v>
      </c>
      <c r="W78" s="1">
        <v>1.523288</v>
      </c>
      <c r="X78" s="1">
        <v>62000</v>
      </c>
      <c r="Y78" s="22">
        <v>2.523288</v>
      </c>
      <c r="Z78" s="4">
        <f>Table1[[#This Row],[totalTimeKept]]*$AD$3</f>
        <v>37849.32</v>
      </c>
      <c r="AA78" s="4">
        <f>Y78-Z78</f>
        <v>-37846.796712000003</v>
      </c>
    </row>
    <row r="79" spans="1:27" x14ac:dyDescent="0.3">
      <c r="A79" s="1">
        <v>7521190</v>
      </c>
      <c r="B79" s="1" t="s">
        <v>179</v>
      </c>
      <c r="C79" s="1" t="s">
        <v>180</v>
      </c>
      <c r="D79" s="1">
        <v>2464130</v>
      </c>
      <c r="E79" s="1">
        <v>0</v>
      </c>
      <c r="F79" s="1" t="s">
        <v>139</v>
      </c>
      <c r="G79" s="1" t="s">
        <v>25</v>
      </c>
      <c r="H79" s="2">
        <v>38399</v>
      </c>
      <c r="I79" s="2">
        <v>40511</v>
      </c>
      <c r="J79" s="2" t="s">
        <v>25</v>
      </c>
      <c r="K79" s="3">
        <v>65495</v>
      </c>
      <c r="L79" s="3"/>
      <c r="M79" s="3">
        <v>-65495</v>
      </c>
      <c r="N79" s="1">
        <v>0</v>
      </c>
      <c r="O79" s="1">
        <v>1</v>
      </c>
      <c r="P79" s="1">
        <v>0</v>
      </c>
      <c r="Q79" s="3">
        <v>255190.7</v>
      </c>
      <c r="R79" s="3"/>
      <c r="S79" s="3">
        <v>-320685.7</v>
      </c>
      <c r="T79" s="1">
        <v>14.23014</v>
      </c>
      <c r="U79" s="3">
        <v>1221600</v>
      </c>
      <c r="V79" s="3">
        <v>0</v>
      </c>
      <c r="W79" s="1">
        <v>6.8356159999999999</v>
      </c>
      <c r="X79" s="1">
        <v>900914.3</v>
      </c>
      <c r="Y79" s="22">
        <v>21.065750000000001</v>
      </c>
      <c r="Z79" s="4">
        <f>Table1[[#This Row],[totalTimeKept]]*$AD$3</f>
        <v>315986.25</v>
      </c>
      <c r="AA79" s="4">
        <f>Y79-Z79</f>
        <v>-315965.18424999999</v>
      </c>
    </row>
    <row r="80" spans="1:27" x14ac:dyDescent="0.3">
      <c r="A80" s="1">
        <v>7543979</v>
      </c>
      <c r="B80" s="1" t="s">
        <v>181</v>
      </c>
      <c r="C80" s="1" t="s">
        <v>182</v>
      </c>
      <c r="E80" s="1">
        <v>0</v>
      </c>
      <c r="F80" s="1" t="s">
        <v>139</v>
      </c>
      <c r="G80" s="1" t="s">
        <v>24</v>
      </c>
      <c r="H80" s="2">
        <v>38373</v>
      </c>
      <c r="I80" s="2">
        <v>40511</v>
      </c>
      <c r="J80" s="2">
        <v>41246</v>
      </c>
      <c r="K80" s="3">
        <v>196484</v>
      </c>
      <c r="L80" s="3">
        <v>210144</v>
      </c>
      <c r="M80" s="3">
        <v>13660</v>
      </c>
      <c r="O80" s="1">
        <v>1</v>
      </c>
      <c r="P80" s="1">
        <v>1</v>
      </c>
      <c r="Q80" s="3">
        <v>11153.85</v>
      </c>
      <c r="R80" s="3"/>
      <c r="S80" s="3">
        <v>2506.1529999999998</v>
      </c>
      <c r="T80" s="1">
        <v>2.0136989999999999</v>
      </c>
      <c r="U80" s="3"/>
      <c r="V80" s="3"/>
      <c r="X80" s="1">
        <v>2506.1529999999998</v>
      </c>
      <c r="Y80" s="22">
        <v>2.0136989999999999</v>
      </c>
      <c r="Z80" s="4">
        <f>Table1[[#This Row],[totalTimeKept]]*$AD$3</f>
        <v>30205.484999999997</v>
      </c>
      <c r="AA80" s="4">
        <f>Y80-Z80</f>
        <v>-30203.471300999998</v>
      </c>
    </row>
    <row r="81" spans="1:27" x14ac:dyDescent="0.3">
      <c r="A81" s="1">
        <v>7688041</v>
      </c>
      <c r="B81" s="1" t="s">
        <v>183</v>
      </c>
      <c r="C81" s="1" t="s">
        <v>184</v>
      </c>
      <c r="D81" s="1">
        <v>4665895</v>
      </c>
      <c r="E81" s="1">
        <v>0</v>
      </c>
      <c r="F81" s="1" t="s">
        <v>24</v>
      </c>
      <c r="G81" s="1" t="s">
        <v>25</v>
      </c>
      <c r="H81" s="2">
        <v>38753</v>
      </c>
      <c r="I81" s="2">
        <v>43409</v>
      </c>
      <c r="J81" s="2" t="s">
        <v>25</v>
      </c>
      <c r="K81" s="3">
        <v>200000</v>
      </c>
      <c r="L81" s="3"/>
      <c r="M81" s="3">
        <v>-200000</v>
      </c>
      <c r="N81" s="1">
        <v>0</v>
      </c>
      <c r="O81" s="1">
        <v>1</v>
      </c>
      <c r="P81" s="1">
        <v>0</v>
      </c>
      <c r="Q81" s="3">
        <v>295425.90000000002</v>
      </c>
      <c r="R81" s="3"/>
      <c r="S81" s="3">
        <v>-495425.9</v>
      </c>
      <c r="T81" s="1">
        <v>6.2904109999999998</v>
      </c>
      <c r="U81" s="3">
        <v>36000</v>
      </c>
      <c r="V81" s="3">
        <v>0</v>
      </c>
      <c r="W81" s="1">
        <v>3.1123289999999999</v>
      </c>
      <c r="X81" s="1">
        <v>-459425.9</v>
      </c>
      <c r="Y81" s="22">
        <v>9.4027399999999997</v>
      </c>
      <c r="Z81" s="4">
        <f>Table1[[#This Row],[totalTimeKept]]*$AD$3</f>
        <v>141041.1</v>
      </c>
      <c r="AA81" s="4">
        <f>Y81-Z81</f>
        <v>-141031.69726000002</v>
      </c>
    </row>
    <row r="82" spans="1:27" x14ac:dyDescent="0.3">
      <c r="A82" s="1">
        <v>7690741</v>
      </c>
      <c r="B82" s="1" t="s">
        <v>185</v>
      </c>
      <c r="C82" s="1" t="s">
        <v>186</v>
      </c>
      <c r="D82" s="1">
        <v>4038114</v>
      </c>
      <c r="E82" s="1">
        <v>0</v>
      </c>
      <c r="F82" s="1" t="s">
        <v>24</v>
      </c>
      <c r="G82" s="1" t="s">
        <v>24</v>
      </c>
      <c r="H82" s="2">
        <v>38756</v>
      </c>
      <c r="I82" s="2">
        <v>40491</v>
      </c>
      <c r="J82" s="2">
        <v>42309</v>
      </c>
      <c r="K82" s="3">
        <v>130000</v>
      </c>
      <c r="L82" s="3">
        <v>1100000</v>
      </c>
      <c r="M82" s="3">
        <v>970000</v>
      </c>
      <c r="N82" s="1">
        <v>0</v>
      </c>
      <c r="O82" s="1">
        <v>1</v>
      </c>
      <c r="P82" s="1">
        <v>1</v>
      </c>
      <c r="Q82" s="3">
        <v>90000</v>
      </c>
      <c r="R82" s="3"/>
      <c r="S82" s="3">
        <v>880000</v>
      </c>
      <c r="T82" s="1">
        <v>4.9808219999999999</v>
      </c>
      <c r="U82" s="3">
        <v>411950</v>
      </c>
      <c r="V82" s="3">
        <v>12500</v>
      </c>
      <c r="W82" s="1">
        <v>18.882190000000001</v>
      </c>
      <c r="X82" s="1">
        <v>1291950</v>
      </c>
      <c r="Y82" s="22">
        <v>23.863009999999999</v>
      </c>
      <c r="Z82" s="4">
        <f>Table1[[#This Row],[totalTimeKept]]*$AD$3</f>
        <v>357945.14999999997</v>
      </c>
      <c r="AA82" s="4">
        <f>Y82-Z82</f>
        <v>-357921.28698999999</v>
      </c>
    </row>
    <row r="83" spans="1:27" x14ac:dyDescent="0.3">
      <c r="A83" s="1">
        <v>7693284</v>
      </c>
      <c r="B83" s="1" t="s">
        <v>187</v>
      </c>
      <c r="C83" s="1" t="s">
        <v>188</v>
      </c>
      <c r="D83" s="1">
        <v>1410735</v>
      </c>
      <c r="E83" s="1">
        <v>0</v>
      </c>
      <c r="F83" s="1" t="s">
        <v>139</v>
      </c>
      <c r="G83" s="1" t="s">
        <v>24</v>
      </c>
      <c r="H83" s="2">
        <v>38755</v>
      </c>
      <c r="I83" s="2">
        <v>40489</v>
      </c>
      <c r="J83" s="2">
        <v>41219</v>
      </c>
      <c r="K83" s="3">
        <v>200000</v>
      </c>
      <c r="L83" s="3">
        <v>360000</v>
      </c>
      <c r="M83" s="3">
        <v>160000</v>
      </c>
      <c r="N83" s="1">
        <v>0</v>
      </c>
      <c r="O83" s="1">
        <v>1</v>
      </c>
      <c r="P83" s="1">
        <v>1</v>
      </c>
      <c r="Q83" s="3">
        <v>20000</v>
      </c>
      <c r="R83" s="3"/>
      <c r="S83" s="3">
        <v>140000</v>
      </c>
      <c r="T83" s="1">
        <v>2</v>
      </c>
      <c r="U83" s="3">
        <v>30000</v>
      </c>
      <c r="V83" s="3">
        <v>0</v>
      </c>
      <c r="W83" s="1">
        <v>1.8712329999999999</v>
      </c>
      <c r="X83" s="1">
        <v>170000</v>
      </c>
      <c r="Y83" s="22">
        <v>3.8712330000000001</v>
      </c>
      <c r="Z83" s="4">
        <f>Table1[[#This Row],[totalTimeKept]]*$AD$3</f>
        <v>58068.495000000003</v>
      </c>
      <c r="AA83" s="4">
        <f>Y83-Z83</f>
        <v>-58064.623767000005</v>
      </c>
    </row>
    <row r="84" spans="1:27" x14ac:dyDescent="0.3">
      <c r="A84" s="1">
        <v>7695106</v>
      </c>
      <c r="B84" s="1" t="s">
        <v>189</v>
      </c>
      <c r="C84" s="1" t="s">
        <v>190</v>
      </c>
      <c r="D84" s="1">
        <v>4671187</v>
      </c>
      <c r="E84" s="1">
        <v>0</v>
      </c>
      <c r="F84" s="1" t="s">
        <v>24</v>
      </c>
      <c r="G84" s="1" t="s">
        <v>24</v>
      </c>
      <c r="H84" s="2">
        <v>38751</v>
      </c>
      <c r="I84" s="2">
        <v>41645</v>
      </c>
      <c r="J84" s="2">
        <v>42153</v>
      </c>
      <c r="K84" s="3">
        <v>110000</v>
      </c>
      <c r="L84" s="3">
        <v>154560</v>
      </c>
      <c r="M84" s="3">
        <v>44560</v>
      </c>
      <c r="N84" s="1">
        <v>0</v>
      </c>
      <c r="O84" s="1">
        <v>1</v>
      </c>
      <c r="P84" s="1">
        <v>1</v>
      </c>
      <c r="Q84" s="3">
        <v>0</v>
      </c>
      <c r="R84" s="3"/>
      <c r="S84" s="3">
        <v>44560</v>
      </c>
      <c r="T84" s="1">
        <v>1.3917809999999999</v>
      </c>
      <c r="U84" s="3">
        <v>40000</v>
      </c>
      <c r="V84" s="3">
        <v>0</v>
      </c>
      <c r="W84" s="1">
        <v>0.73972599999999999</v>
      </c>
      <c r="X84" s="1">
        <v>84560</v>
      </c>
      <c r="Y84" s="22">
        <v>2.131507</v>
      </c>
      <c r="Z84" s="4">
        <f>Table1[[#This Row],[totalTimeKept]]*$AD$3</f>
        <v>31972.605</v>
      </c>
      <c r="AA84" s="4">
        <f>Y84-Z84</f>
        <v>-31970.473493000001</v>
      </c>
    </row>
    <row r="85" spans="1:27" x14ac:dyDescent="0.3">
      <c r="A85" s="1">
        <v>7704649</v>
      </c>
      <c r="B85" s="1" t="s">
        <v>191</v>
      </c>
      <c r="C85" s="1" t="s">
        <v>192</v>
      </c>
      <c r="D85" s="1">
        <v>4035973</v>
      </c>
      <c r="E85" s="1">
        <v>0</v>
      </c>
      <c r="F85" s="1" t="s">
        <v>24</v>
      </c>
      <c r="G85" s="1" t="s">
        <v>25</v>
      </c>
      <c r="H85" s="2">
        <v>38487</v>
      </c>
      <c r="I85" s="2">
        <v>43046</v>
      </c>
      <c r="J85" s="2" t="s">
        <v>25</v>
      </c>
      <c r="K85" s="3">
        <v>550000</v>
      </c>
      <c r="L85" s="3"/>
      <c r="M85" s="3">
        <v>-550000</v>
      </c>
      <c r="N85" s="1">
        <v>0</v>
      </c>
      <c r="O85" s="1">
        <v>1</v>
      </c>
      <c r="P85" s="1">
        <v>0</v>
      </c>
      <c r="Q85" s="3">
        <v>415259.3</v>
      </c>
      <c r="R85" s="3"/>
      <c r="S85" s="3">
        <v>-965259.3</v>
      </c>
      <c r="T85" s="1">
        <v>7.2849320000000004</v>
      </c>
      <c r="U85" s="3">
        <v>452000</v>
      </c>
      <c r="V85" s="3">
        <v>0</v>
      </c>
      <c r="W85" s="1">
        <v>6.2054799999999997</v>
      </c>
      <c r="X85" s="1">
        <v>-513259.3</v>
      </c>
      <c r="Y85" s="22">
        <v>13.490410000000001</v>
      </c>
      <c r="Z85" s="4">
        <f>Table1[[#This Row],[totalTimeKept]]*$AD$3</f>
        <v>202356.15000000002</v>
      </c>
      <c r="AA85" s="4">
        <f>Y85-Z85</f>
        <v>-202342.65959000002</v>
      </c>
    </row>
    <row r="86" spans="1:27" x14ac:dyDescent="0.3">
      <c r="A86" s="1">
        <v>7726342</v>
      </c>
      <c r="B86" s="1" t="s">
        <v>193</v>
      </c>
      <c r="C86" s="1" t="s">
        <v>194</v>
      </c>
      <c r="D86" s="1">
        <v>1445845</v>
      </c>
      <c r="E86" s="1">
        <v>0</v>
      </c>
      <c r="F86" s="1" t="s">
        <v>139</v>
      </c>
      <c r="G86" s="1" t="s">
        <v>24</v>
      </c>
      <c r="H86" s="2">
        <v>38796</v>
      </c>
      <c r="I86" s="2">
        <v>40190</v>
      </c>
      <c r="J86" s="2">
        <v>40516</v>
      </c>
      <c r="K86" s="3">
        <v>30000</v>
      </c>
      <c r="L86" s="3">
        <v>20117</v>
      </c>
      <c r="M86" s="3">
        <v>-9883</v>
      </c>
      <c r="N86" s="1">
        <v>0</v>
      </c>
      <c r="O86" s="1">
        <v>1</v>
      </c>
      <c r="P86" s="1">
        <v>1</v>
      </c>
      <c r="Q86" s="3"/>
      <c r="R86" s="3"/>
      <c r="S86" s="3">
        <v>-9883</v>
      </c>
      <c r="T86" s="1">
        <v>0.89315069999999996</v>
      </c>
      <c r="U86" s="3"/>
      <c r="V86" s="3"/>
      <c r="X86" s="1">
        <v>-9883</v>
      </c>
      <c r="Y86" s="22">
        <v>0.89315069999999996</v>
      </c>
      <c r="Z86" s="4">
        <f>Table1[[#This Row],[totalTimeKept]]*$AD$3</f>
        <v>13397.2605</v>
      </c>
      <c r="AA86" s="4">
        <f>Y86-Z86</f>
        <v>-13396.367349300001</v>
      </c>
    </row>
    <row r="87" spans="1:27" x14ac:dyDescent="0.3">
      <c r="A87" s="1">
        <v>7728149</v>
      </c>
      <c r="B87" s="1" t="s">
        <v>195</v>
      </c>
      <c r="C87" s="1" t="s">
        <v>196</v>
      </c>
      <c r="D87" s="1">
        <v>4434397</v>
      </c>
      <c r="E87" s="1">
        <v>0</v>
      </c>
      <c r="F87" s="1" t="s">
        <v>24</v>
      </c>
      <c r="G87" s="1" t="s">
        <v>24</v>
      </c>
      <c r="H87" s="2">
        <v>38799</v>
      </c>
      <c r="I87" s="2">
        <v>40918</v>
      </c>
      <c r="J87" s="2">
        <v>42773</v>
      </c>
      <c r="K87" s="3">
        <v>375000</v>
      </c>
      <c r="L87" s="3">
        <v>185000</v>
      </c>
      <c r="M87" s="3">
        <v>-190000</v>
      </c>
      <c r="N87" s="1">
        <v>0</v>
      </c>
      <c r="O87" s="1">
        <v>1</v>
      </c>
      <c r="P87" s="1">
        <v>1</v>
      </c>
      <c r="Q87" s="3">
        <v>160000</v>
      </c>
      <c r="R87" s="3"/>
      <c r="S87" s="3">
        <v>-350000</v>
      </c>
      <c r="T87" s="1">
        <v>5.082192</v>
      </c>
      <c r="U87" s="3">
        <v>362000</v>
      </c>
      <c r="V87" s="3">
        <v>0</v>
      </c>
      <c r="W87" s="1">
        <v>3.5424660000000001</v>
      </c>
      <c r="X87" s="1">
        <v>12000</v>
      </c>
      <c r="Y87" s="22">
        <v>8.6246580000000002</v>
      </c>
      <c r="Z87" s="4">
        <f>Table1[[#This Row],[totalTimeKept]]*$AD$3</f>
        <v>129369.87</v>
      </c>
      <c r="AA87" s="4">
        <f>Y87-Z87</f>
        <v>-129361.24534199999</v>
      </c>
    </row>
    <row r="88" spans="1:27" x14ac:dyDescent="0.3">
      <c r="A88" s="1">
        <v>7730273</v>
      </c>
      <c r="B88" s="1" t="s">
        <v>197</v>
      </c>
      <c r="C88" s="1" t="s">
        <v>198</v>
      </c>
      <c r="D88" s="1">
        <v>4977827</v>
      </c>
      <c r="E88" s="1">
        <v>0</v>
      </c>
      <c r="F88" s="1" t="s">
        <v>24</v>
      </c>
      <c r="G88" s="1" t="s">
        <v>24</v>
      </c>
      <c r="H88" s="2">
        <v>38796</v>
      </c>
      <c r="I88" s="2">
        <v>43410</v>
      </c>
      <c r="J88" s="2">
        <v>43753</v>
      </c>
      <c r="K88" s="3">
        <v>85000</v>
      </c>
      <c r="L88" s="3">
        <v>31000</v>
      </c>
      <c r="M88" s="3">
        <v>-54000</v>
      </c>
      <c r="N88" s="1">
        <v>0</v>
      </c>
      <c r="O88" s="1">
        <v>1</v>
      </c>
      <c r="P88" s="1">
        <v>1</v>
      </c>
      <c r="Q88" s="3">
        <v>0</v>
      </c>
      <c r="R88" s="3"/>
      <c r="S88" s="3">
        <v>-54000</v>
      </c>
      <c r="T88" s="1">
        <v>0.93972610000000001</v>
      </c>
      <c r="U88" s="3">
        <v>175000</v>
      </c>
      <c r="V88" s="3">
        <v>0</v>
      </c>
      <c r="W88" s="1">
        <v>1.345205</v>
      </c>
      <c r="X88" s="1">
        <v>121000</v>
      </c>
      <c r="Y88" s="22">
        <v>2.2849309999999998</v>
      </c>
      <c r="Z88" s="4">
        <f>Table1[[#This Row],[totalTimeKept]]*$AD$3</f>
        <v>34273.964999999997</v>
      </c>
      <c r="AA88" s="4">
        <f>Y88-Z88</f>
        <v>-34271.680068999995</v>
      </c>
    </row>
    <row r="89" spans="1:27" x14ac:dyDescent="0.3">
      <c r="A89" s="1">
        <v>7732950</v>
      </c>
      <c r="B89" s="1" t="s">
        <v>199</v>
      </c>
      <c r="C89" s="1" t="s">
        <v>200</v>
      </c>
      <c r="D89" s="1">
        <v>4002845</v>
      </c>
      <c r="E89" s="1">
        <v>0</v>
      </c>
      <c r="F89" s="1" t="s">
        <v>24</v>
      </c>
      <c r="G89" s="1" t="s">
        <v>25</v>
      </c>
      <c r="H89" s="2">
        <v>38773</v>
      </c>
      <c r="I89" s="2">
        <v>41582</v>
      </c>
      <c r="J89" s="2" t="s">
        <v>25</v>
      </c>
      <c r="K89" s="3">
        <v>550000</v>
      </c>
      <c r="L89" s="3"/>
      <c r="M89" s="3">
        <v>-550000</v>
      </c>
      <c r="N89" s="1">
        <v>0</v>
      </c>
      <c r="O89" s="1">
        <v>1</v>
      </c>
      <c r="P89" s="1">
        <v>0</v>
      </c>
      <c r="Q89" s="3">
        <v>702925.9</v>
      </c>
      <c r="R89" s="3"/>
      <c r="S89" s="3">
        <v>-1252926</v>
      </c>
      <c r="T89" s="1">
        <v>11.29589</v>
      </c>
      <c r="U89" s="3">
        <v>1620100</v>
      </c>
      <c r="V89" s="3">
        <v>20000</v>
      </c>
      <c r="W89" s="1">
        <v>18.898630000000001</v>
      </c>
      <c r="X89" s="1">
        <v>367174.1</v>
      </c>
      <c r="Y89" s="22">
        <v>30.194520000000001</v>
      </c>
      <c r="Z89" s="4">
        <f>Table1[[#This Row],[totalTimeKept]]*$AD$3</f>
        <v>452917.8</v>
      </c>
      <c r="AA89" s="4">
        <f>Y89-Z89</f>
        <v>-452887.60547999997</v>
      </c>
    </row>
    <row r="90" spans="1:27" x14ac:dyDescent="0.3">
      <c r="A90" s="1">
        <v>7742433</v>
      </c>
      <c r="B90" s="1" t="s">
        <v>201</v>
      </c>
      <c r="C90" s="1" t="s">
        <v>202</v>
      </c>
      <c r="D90" s="1">
        <v>1420626</v>
      </c>
      <c r="E90" s="1">
        <v>0</v>
      </c>
      <c r="F90" s="1" t="s">
        <v>24</v>
      </c>
      <c r="G90" s="1" t="s">
        <v>25</v>
      </c>
      <c r="H90" s="2">
        <v>38817</v>
      </c>
      <c r="I90" s="2">
        <v>41948</v>
      </c>
      <c r="J90" s="2" t="s">
        <v>25</v>
      </c>
      <c r="K90" s="3">
        <v>250000</v>
      </c>
      <c r="L90" s="3"/>
      <c r="M90" s="3">
        <v>-250000</v>
      </c>
      <c r="N90" s="1">
        <v>0</v>
      </c>
      <c r="O90" s="1">
        <v>1</v>
      </c>
      <c r="P90" s="1">
        <v>0</v>
      </c>
      <c r="Q90" s="3">
        <v>545000</v>
      </c>
      <c r="R90" s="3"/>
      <c r="S90" s="3">
        <v>-795000</v>
      </c>
      <c r="T90" s="1">
        <v>10.293150000000001</v>
      </c>
      <c r="U90" s="3">
        <v>325000</v>
      </c>
      <c r="V90" s="3">
        <v>0</v>
      </c>
      <c r="W90" s="1">
        <v>13.44384</v>
      </c>
      <c r="X90" s="1">
        <v>-470000</v>
      </c>
      <c r="Y90" s="22">
        <v>23.736989999999999</v>
      </c>
      <c r="Z90" s="4">
        <f>Table1[[#This Row],[totalTimeKept]]*$AD$3</f>
        <v>356054.85</v>
      </c>
      <c r="AA90" s="4">
        <f>Y90-Z90</f>
        <v>-356031.11300999997</v>
      </c>
    </row>
    <row r="91" spans="1:27" x14ac:dyDescent="0.3">
      <c r="A91" s="1">
        <v>7749761</v>
      </c>
      <c r="B91" s="1" t="s">
        <v>203</v>
      </c>
      <c r="C91" s="1" t="s">
        <v>204</v>
      </c>
      <c r="D91" s="1">
        <v>4055787</v>
      </c>
      <c r="E91" s="1">
        <v>0</v>
      </c>
      <c r="F91" s="1" t="s">
        <v>24</v>
      </c>
      <c r="G91" s="1" t="s">
        <v>25</v>
      </c>
      <c r="H91" s="2">
        <v>38827</v>
      </c>
      <c r="I91" s="2">
        <v>43046</v>
      </c>
      <c r="J91" s="2" t="s">
        <v>25</v>
      </c>
      <c r="K91" s="3">
        <v>450000</v>
      </c>
      <c r="L91" s="3"/>
      <c r="M91" s="3">
        <v>-450000</v>
      </c>
      <c r="N91" s="1">
        <v>0</v>
      </c>
      <c r="O91" s="1">
        <v>1</v>
      </c>
      <c r="P91" s="1">
        <v>0</v>
      </c>
      <c r="Q91" s="3">
        <v>556111.1</v>
      </c>
      <c r="R91" s="3"/>
      <c r="S91" s="3">
        <v>-1006111</v>
      </c>
      <c r="T91" s="1">
        <v>7.2849320000000004</v>
      </c>
      <c r="U91" s="3"/>
      <c r="V91" s="3"/>
      <c r="X91" s="1">
        <v>-1006111</v>
      </c>
      <c r="Y91" s="22">
        <v>7.2849320000000004</v>
      </c>
      <c r="Z91" s="4">
        <f>Table1[[#This Row],[totalTimeKept]]*$AD$3</f>
        <v>109273.98000000001</v>
      </c>
      <c r="AA91" s="4">
        <f>Y91-Z91</f>
        <v>-109266.69506800002</v>
      </c>
    </row>
    <row r="92" spans="1:27" x14ac:dyDescent="0.3">
      <c r="A92" s="1">
        <v>7753394</v>
      </c>
      <c r="B92" s="1" t="s">
        <v>205</v>
      </c>
      <c r="C92" s="1" t="s">
        <v>206</v>
      </c>
      <c r="D92" s="1">
        <v>4030730</v>
      </c>
      <c r="E92" s="1">
        <v>0</v>
      </c>
      <c r="F92" s="1" t="s">
        <v>139</v>
      </c>
      <c r="G92" s="1" t="s">
        <v>24</v>
      </c>
      <c r="H92" s="2">
        <v>38831</v>
      </c>
      <c r="I92" s="2">
        <v>40494</v>
      </c>
      <c r="J92" s="2">
        <v>42660</v>
      </c>
      <c r="K92" s="3">
        <v>70000</v>
      </c>
      <c r="L92" s="3">
        <v>18000</v>
      </c>
      <c r="M92" s="3">
        <v>-52000</v>
      </c>
      <c r="N92" s="1">
        <v>0</v>
      </c>
      <c r="O92" s="1">
        <v>1</v>
      </c>
      <c r="P92" s="1">
        <v>1</v>
      </c>
      <c r="Q92" s="3">
        <v>87500</v>
      </c>
      <c r="R92" s="3"/>
      <c r="S92" s="3">
        <v>-139500</v>
      </c>
      <c r="T92" s="1">
        <v>5.934247</v>
      </c>
      <c r="U92" s="3">
        <v>361050</v>
      </c>
      <c r="V92" s="3">
        <v>0</v>
      </c>
      <c r="W92" s="1">
        <v>12.91507</v>
      </c>
      <c r="X92" s="1">
        <v>221550</v>
      </c>
      <c r="Y92" s="22">
        <v>18.849319999999999</v>
      </c>
      <c r="Z92" s="4">
        <f>Table1[[#This Row],[totalTimeKept]]*$AD$3</f>
        <v>282739.8</v>
      </c>
      <c r="AA92" s="4">
        <f>Y92-Z92</f>
        <v>-282720.95068000001</v>
      </c>
    </row>
    <row r="93" spans="1:27" x14ac:dyDescent="0.3">
      <c r="A93" s="1">
        <v>7760298</v>
      </c>
      <c r="B93" s="1" t="s">
        <v>207</v>
      </c>
      <c r="C93" s="1" t="s">
        <v>208</v>
      </c>
      <c r="D93" s="1">
        <v>1254075</v>
      </c>
      <c r="E93" s="1">
        <v>0</v>
      </c>
      <c r="F93" s="1" t="s">
        <v>24</v>
      </c>
      <c r="G93" s="1" t="s">
        <v>24</v>
      </c>
      <c r="H93" s="2">
        <v>38838</v>
      </c>
      <c r="I93" s="2">
        <v>43774</v>
      </c>
      <c r="J93" s="2">
        <v>44144</v>
      </c>
      <c r="K93" s="3">
        <v>700000</v>
      </c>
      <c r="L93" s="3">
        <v>750000</v>
      </c>
      <c r="M93" s="3">
        <v>50000</v>
      </c>
      <c r="N93" s="1">
        <v>0</v>
      </c>
      <c r="O93" s="1">
        <v>1</v>
      </c>
      <c r="P93" s="1">
        <v>1</v>
      </c>
      <c r="Q93" s="3">
        <v>0</v>
      </c>
      <c r="R93" s="3"/>
      <c r="S93" s="3">
        <v>50000</v>
      </c>
      <c r="T93" s="1">
        <v>1.0136989999999999</v>
      </c>
      <c r="U93" s="3"/>
      <c r="V93" s="3"/>
      <c r="X93" s="1">
        <v>50000</v>
      </c>
      <c r="Y93" s="22">
        <v>1.0136989999999999</v>
      </c>
      <c r="Z93" s="4">
        <f>Table1[[#This Row],[totalTimeKept]]*$AD$3</f>
        <v>15205.484999999999</v>
      </c>
      <c r="AA93" s="4">
        <f>Y93-Z93</f>
        <v>-15204.471301</v>
      </c>
    </row>
    <row r="94" spans="1:27" x14ac:dyDescent="0.3">
      <c r="A94" s="1">
        <v>7760304</v>
      </c>
      <c r="B94" s="1" t="s">
        <v>209</v>
      </c>
      <c r="C94" s="1" t="s">
        <v>210</v>
      </c>
      <c r="D94" s="1">
        <v>4212290</v>
      </c>
      <c r="E94" s="1">
        <v>0</v>
      </c>
      <c r="F94" s="1" t="s">
        <v>139</v>
      </c>
      <c r="G94" s="1" t="s">
        <v>24</v>
      </c>
      <c r="H94" s="2">
        <v>38836</v>
      </c>
      <c r="I94" s="2">
        <v>40489</v>
      </c>
      <c r="J94" s="2">
        <v>41585</v>
      </c>
      <c r="K94" s="3">
        <v>125000</v>
      </c>
      <c r="L94" s="3">
        <v>220000</v>
      </c>
      <c r="M94" s="3">
        <v>95000</v>
      </c>
      <c r="N94" s="1">
        <v>0</v>
      </c>
      <c r="O94" s="1">
        <v>1</v>
      </c>
      <c r="P94" s="1">
        <v>1</v>
      </c>
      <c r="Q94" s="3">
        <v>35000</v>
      </c>
      <c r="R94" s="3"/>
      <c r="S94" s="3">
        <v>60000</v>
      </c>
      <c r="T94" s="1">
        <v>3.0027400000000002</v>
      </c>
      <c r="U94" s="3">
        <v>185000</v>
      </c>
      <c r="V94" s="3">
        <v>0</v>
      </c>
      <c r="W94" s="1">
        <v>2.6986300000000001</v>
      </c>
      <c r="X94" s="1">
        <v>245000</v>
      </c>
      <c r="Y94" s="22">
        <v>5.7013699999999998</v>
      </c>
      <c r="Z94" s="4">
        <f>Table1[[#This Row],[totalTimeKept]]*$AD$3</f>
        <v>85520.55</v>
      </c>
      <c r="AA94" s="4">
        <f>Y94-Z94</f>
        <v>-85514.848630000008</v>
      </c>
    </row>
    <row r="95" spans="1:27" x14ac:dyDescent="0.3">
      <c r="A95" s="1">
        <v>7766245</v>
      </c>
      <c r="B95" s="1" t="s">
        <v>211</v>
      </c>
      <c r="C95" s="1" t="s">
        <v>212</v>
      </c>
      <c r="D95" s="1">
        <v>5215057</v>
      </c>
      <c r="E95" s="1">
        <v>0</v>
      </c>
      <c r="F95" s="1" t="s">
        <v>139</v>
      </c>
      <c r="G95" s="1" t="s">
        <v>24</v>
      </c>
      <c r="H95" s="2">
        <v>38824</v>
      </c>
      <c r="I95" s="2">
        <v>40853</v>
      </c>
      <c r="J95" s="2">
        <v>41582</v>
      </c>
      <c r="K95" s="3">
        <v>150000</v>
      </c>
      <c r="L95" s="3">
        <v>1100000</v>
      </c>
      <c r="M95" s="3">
        <v>950000</v>
      </c>
      <c r="N95" s="1">
        <v>0</v>
      </c>
      <c r="O95" s="1">
        <v>1</v>
      </c>
      <c r="P95" s="1">
        <v>1</v>
      </c>
      <c r="Q95" s="3">
        <v>20000</v>
      </c>
      <c r="R95" s="3"/>
      <c r="S95" s="3">
        <v>930000</v>
      </c>
      <c r="T95" s="1">
        <v>1.99726</v>
      </c>
      <c r="U95" s="3">
        <v>80000</v>
      </c>
      <c r="V95" s="3">
        <v>0</v>
      </c>
      <c r="W95" s="1">
        <v>1.5972599999999999</v>
      </c>
      <c r="X95" s="1">
        <v>1010000</v>
      </c>
      <c r="Y95" s="22">
        <v>3.5945209999999999</v>
      </c>
      <c r="Z95" s="4">
        <f>Table1[[#This Row],[totalTimeKept]]*$AD$3</f>
        <v>53917.814999999995</v>
      </c>
      <c r="AA95" s="4">
        <f>Y95-Z95</f>
        <v>-53914.220478999996</v>
      </c>
    </row>
    <row r="96" spans="1:27" x14ac:dyDescent="0.3">
      <c r="A96" s="1">
        <v>7780067</v>
      </c>
      <c r="B96" s="1" t="s">
        <v>213</v>
      </c>
      <c r="C96" s="1" t="s">
        <v>214</v>
      </c>
      <c r="E96" s="1">
        <v>0</v>
      </c>
      <c r="F96" s="1" t="s">
        <v>24</v>
      </c>
      <c r="G96" s="1" t="s">
        <v>24</v>
      </c>
      <c r="H96" s="2">
        <v>38851</v>
      </c>
      <c r="I96" s="2">
        <v>43048</v>
      </c>
      <c r="J96" s="2">
        <v>43415</v>
      </c>
      <c r="K96" s="3">
        <v>92000</v>
      </c>
      <c r="L96" s="3">
        <v>42000</v>
      </c>
      <c r="M96" s="3">
        <v>-50000</v>
      </c>
      <c r="N96" s="1">
        <v>0</v>
      </c>
      <c r="O96" s="1">
        <v>1</v>
      </c>
      <c r="P96" s="1">
        <v>1</v>
      </c>
      <c r="Q96" s="3">
        <v>0</v>
      </c>
      <c r="R96" s="3"/>
      <c r="S96" s="3">
        <v>-50000</v>
      </c>
      <c r="T96" s="1">
        <v>1.005479</v>
      </c>
      <c r="U96" s="3">
        <v>221650</v>
      </c>
      <c r="V96" s="3">
        <v>0</v>
      </c>
      <c r="W96" s="1">
        <v>3.2410960000000002</v>
      </c>
      <c r="X96" s="1">
        <v>171650</v>
      </c>
      <c r="Y96" s="22">
        <v>4.246575</v>
      </c>
      <c r="Z96" s="4">
        <f>Table1[[#This Row],[totalTimeKept]]*$AD$3</f>
        <v>63698.625</v>
      </c>
      <c r="AA96" s="4">
        <f>Y96-Z96</f>
        <v>-63694.378425000003</v>
      </c>
    </row>
    <row r="97" spans="1:27" x14ac:dyDescent="0.3">
      <c r="A97" s="1">
        <v>7877979</v>
      </c>
      <c r="B97" s="1" t="s">
        <v>215</v>
      </c>
      <c r="C97" s="1" t="s">
        <v>216</v>
      </c>
      <c r="E97" s="1">
        <v>0</v>
      </c>
      <c r="F97" s="1" t="s">
        <v>24</v>
      </c>
      <c r="G97" s="1" t="s">
        <v>25</v>
      </c>
      <c r="H97" s="2">
        <v>38818</v>
      </c>
      <c r="I97" s="2">
        <v>43409</v>
      </c>
      <c r="J97" s="2" t="s">
        <v>25</v>
      </c>
      <c r="K97" s="3">
        <v>200000</v>
      </c>
      <c r="L97" s="3"/>
      <c r="M97" s="3">
        <v>-200000</v>
      </c>
      <c r="N97" s="1">
        <v>0</v>
      </c>
      <c r="O97" s="1">
        <v>1</v>
      </c>
      <c r="P97" s="1">
        <v>0</v>
      </c>
      <c r="Q97" s="3">
        <v>66018.52</v>
      </c>
      <c r="R97" s="3"/>
      <c r="S97" s="3">
        <v>-266018.5</v>
      </c>
      <c r="T97" s="1">
        <v>6.2904109999999998</v>
      </c>
      <c r="U97" s="3">
        <v>335000</v>
      </c>
      <c r="V97" s="3">
        <v>0</v>
      </c>
      <c r="W97" s="1">
        <v>2.8630140000000002</v>
      </c>
      <c r="X97" s="1">
        <v>68981.47</v>
      </c>
      <c r="Y97" s="22">
        <v>9.1534250000000004</v>
      </c>
      <c r="Z97" s="4">
        <f>Table1[[#This Row],[totalTimeKept]]*$AD$3</f>
        <v>137301.375</v>
      </c>
      <c r="AA97" s="4">
        <f>Y97-Z97</f>
        <v>-137292.221575</v>
      </c>
    </row>
    <row r="98" spans="1:27" x14ac:dyDescent="0.3">
      <c r="A98" s="1">
        <v>7965659</v>
      </c>
      <c r="B98" s="1" t="s">
        <v>217</v>
      </c>
      <c r="C98" s="1" t="s">
        <v>218</v>
      </c>
      <c r="D98" s="1">
        <v>1363519</v>
      </c>
      <c r="E98" s="1">
        <v>0</v>
      </c>
      <c r="F98" s="1" t="s">
        <v>24</v>
      </c>
      <c r="G98" s="1" t="s">
        <v>24</v>
      </c>
      <c r="H98" s="2">
        <v>39094</v>
      </c>
      <c r="I98" s="2">
        <v>41587</v>
      </c>
      <c r="J98" s="2">
        <v>41950</v>
      </c>
      <c r="K98" s="3">
        <v>110000</v>
      </c>
      <c r="L98" s="3">
        <v>50000</v>
      </c>
      <c r="M98" s="3">
        <v>-60000</v>
      </c>
      <c r="N98" s="1">
        <v>0</v>
      </c>
      <c r="O98" s="1">
        <v>1</v>
      </c>
      <c r="P98" s="1">
        <v>1</v>
      </c>
      <c r="Q98" s="3">
        <v>0</v>
      </c>
      <c r="R98" s="3"/>
      <c r="S98" s="3">
        <v>-60000</v>
      </c>
      <c r="T98" s="1">
        <v>0.99452050000000003</v>
      </c>
      <c r="U98" s="3">
        <v>25000</v>
      </c>
      <c r="V98" s="3">
        <v>0</v>
      </c>
      <c r="W98" s="1">
        <v>1.613699</v>
      </c>
      <c r="X98" s="1">
        <v>-35000</v>
      </c>
      <c r="Y98" s="22">
        <v>2.6082190000000001</v>
      </c>
      <c r="Z98" s="4">
        <f>Table1[[#This Row],[totalTimeKept]]*$AD$3</f>
        <v>39123.285000000003</v>
      </c>
      <c r="AA98" s="4">
        <f>Y98-Z98</f>
        <v>-39120.676781000002</v>
      </c>
    </row>
    <row r="99" spans="1:27" x14ac:dyDescent="0.3">
      <c r="A99" s="1">
        <v>7968856</v>
      </c>
      <c r="B99" s="1" t="s">
        <v>219</v>
      </c>
      <c r="C99" s="1" t="s">
        <v>220</v>
      </c>
      <c r="D99" s="1">
        <v>4684785</v>
      </c>
      <c r="E99" s="1">
        <v>0</v>
      </c>
      <c r="F99" s="1" t="s">
        <v>24</v>
      </c>
      <c r="G99" s="1" t="s">
        <v>25</v>
      </c>
      <c r="H99" s="2">
        <v>39099</v>
      </c>
      <c r="I99" s="2">
        <v>44878</v>
      </c>
      <c r="J99" s="2" t="s">
        <v>25</v>
      </c>
      <c r="K99" s="3">
        <v>50000</v>
      </c>
      <c r="L99" s="3"/>
      <c r="M99" s="3">
        <v>-50000</v>
      </c>
      <c r="N99" s="1">
        <v>0</v>
      </c>
      <c r="O99" s="1">
        <v>1</v>
      </c>
      <c r="P99" s="1">
        <v>0</v>
      </c>
      <c r="Q99" s="3">
        <v>500000</v>
      </c>
      <c r="R99" s="3"/>
      <c r="S99" s="3">
        <v>-550000</v>
      </c>
      <c r="T99" s="1">
        <v>2.2657539999999998</v>
      </c>
      <c r="U99" s="3"/>
      <c r="V99" s="3"/>
      <c r="X99" s="1">
        <v>-550000</v>
      </c>
      <c r="Y99" s="22">
        <v>2.2657539999999998</v>
      </c>
      <c r="Z99" s="4">
        <f>Table1[[#This Row],[totalTimeKept]]*$AD$3</f>
        <v>33986.31</v>
      </c>
      <c r="AA99" s="4">
        <f>Y99-Z99</f>
        <v>-33984.044245999998</v>
      </c>
    </row>
    <row r="100" spans="1:27" x14ac:dyDescent="0.3">
      <c r="A100" s="1">
        <v>7972884</v>
      </c>
      <c r="B100" s="1" t="s">
        <v>221</v>
      </c>
      <c r="C100" s="1" t="s">
        <v>222</v>
      </c>
      <c r="D100" s="1">
        <v>6108182</v>
      </c>
      <c r="E100" s="1">
        <v>0</v>
      </c>
      <c r="F100" s="1" t="s">
        <v>24</v>
      </c>
      <c r="G100" s="1" t="s">
        <v>24</v>
      </c>
      <c r="H100" s="2">
        <v>39103</v>
      </c>
      <c r="I100" s="2">
        <v>42681</v>
      </c>
      <c r="J100" s="2">
        <v>43784</v>
      </c>
      <c r="K100" s="3">
        <v>250000</v>
      </c>
      <c r="L100" s="3">
        <v>16000</v>
      </c>
      <c r="M100" s="3">
        <v>-234000</v>
      </c>
      <c r="N100" s="1">
        <v>0</v>
      </c>
      <c r="O100" s="1">
        <v>1</v>
      </c>
      <c r="P100" s="1">
        <v>1</v>
      </c>
      <c r="Q100" s="3">
        <v>75000</v>
      </c>
      <c r="R100" s="3"/>
      <c r="S100" s="3">
        <v>-309000</v>
      </c>
      <c r="T100" s="1">
        <v>3.0219179999999999</v>
      </c>
      <c r="U100" s="3">
        <v>45000</v>
      </c>
      <c r="V100" s="3">
        <v>0</v>
      </c>
      <c r="W100" s="1">
        <v>1.3945209999999999</v>
      </c>
      <c r="X100" s="1">
        <v>-264000</v>
      </c>
      <c r="Y100" s="22">
        <v>4.4164380000000003</v>
      </c>
      <c r="Z100" s="4">
        <f>Table1[[#This Row],[totalTimeKept]]*$AD$3</f>
        <v>66246.570000000007</v>
      </c>
      <c r="AA100" s="4">
        <f>Y100-Z100</f>
        <v>-66242.153562000007</v>
      </c>
    </row>
    <row r="101" spans="1:27" x14ac:dyDescent="0.3">
      <c r="A101" s="1">
        <v>7994285</v>
      </c>
      <c r="B101" s="1" t="s">
        <v>223</v>
      </c>
      <c r="C101" s="1" t="s">
        <v>224</v>
      </c>
      <c r="D101" s="1">
        <v>5351944</v>
      </c>
      <c r="E101" s="1">
        <v>0</v>
      </c>
      <c r="F101" s="1" t="s">
        <v>24</v>
      </c>
      <c r="G101" s="1" t="s">
        <v>24</v>
      </c>
      <c r="H101" s="2">
        <v>39127</v>
      </c>
      <c r="I101" s="2">
        <v>43410</v>
      </c>
      <c r="J101" s="2">
        <v>44145</v>
      </c>
      <c r="K101" s="3">
        <v>230000</v>
      </c>
      <c r="L101" s="3">
        <v>75000</v>
      </c>
      <c r="M101" s="3">
        <v>-155000</v>
      </c>
      <c r="N101" s="1">
        <v>0</v>
      </c>
      <c r="O101" s="1">
        <v>1</v>
      </c>
      <c r="P101" s="1">
        <v>1</v>
      </c>
      <c r="Q101" s="3">
        <v>75259.259999999995</v>
      </c>
      <c r="R101" s="3"/>
      <c r="S101" s="3">
        <v>-230259.3</v>
      </c>
      <c r="T101" s="1">
        <v>2.0136989999999999</v>
      </c>
      <c r="U101" s="3">
        <v>20000</v>
      </c>
      <c r="V101" s="3">
        <v>0</v>
      </c>
      <c r="W101" s="1">
        <v>1.983562</v>
      </c>
      <c r="X101" s="1">
        <v>-210259.3</v>
      </c>
      <c r="Y101" s="22">
        <v>3.9972599999999998</v>
      </c>
      <c r="Z101" s="4">
        <f>Table1[[#This Row],[totalTimeKept]]*$AD$3</f>
        <v>59958.899999999994</v>
      </c>
      <c r="AA101" s="4">
        <f>Y101-Z101</f>
        <v>-59954.902739999998</v>
      </c>
    </row>
    <row r="102" spans="1:27" x14ac:dyDescent="0.3">
      <c r="A102" s="1">
        <v>7996279</v>
      </c>
      <c r="B102" s="1" t="s">
        <v>225</v>
      </c>
      <c r="C102" s="1" t="s">
        <v>226</v>
      </c>
      <c r="D102" s="1">
        <v>4307211</v>
      </c>
      <c r="E102" s="1">
        <v>0</v>
      </c>
      <c r="F102" s="1" t="s">
        <v>24</v>
      </c>
      <c r="G102" s="1" t="s">
        <v>24</v>
      </c>
      <c r="H102" s="2">
        <v>39122</v>
      </c>
      <c r="I102" s="2">
        <v>42312</v>
      </c>
      <c r="J102" s="2">
        <v>43052</v>
      </c>
      <c r="K102" s="3">
        <v>90000</v>
      </c>
      <c r="L102" s="3">
        <v>105000</v>
      </c>
      <c r="M102" s="3">
        <v>15000</v>
      </c>
      <c r="N102" s="1">
        <v>0</v>
      </c>
      <c r="O102" s="1">
        <v>1</v>
      </c>
      <c r="P102" s="1">
        <v>1</v>
      </c>
      <c r="Q102" s="3">
        <v>15000</v>
      </c>
      <c r="R102" s="3"/>
      <c r="S102" s="3">
        <v>0</v>
      </c>
      <c r="T102" s="1">
        <v>2.0273970000000001</v>
      </c>
      <c r="U102" s="3">
        <v>962000</v>
      </c>
      <c r="V102" s="3">
        <v>0</v>
      </c>
      <c r="W102" s="1">
        <v>4.1506850000000002</v>
      </c>
      <c r="X102" s="1">
        <v>962000</v>
      </c>
      <c r="Y102" s="22">
        <v>6.1780819999999999</v>
      </c>
      <c r="Z102" s="4">
        <f>Table1[[#This Row],[totalTimeKept]]*$AD$3</f>
        <v>92671.23</v>
      </c>
      <c r="AA102" s="4">
        <f>Y102-Z102</f>
        <v>-92665.051917999997</v>
      </c>
    </row>
    <row r="103" spans="1:27" x14ac:dyDescent="0.3">
      <c r="A103" s="1">
        <v>8002589</v>
      </c>
      <c r="B103" s="1" t="s">
        <v>227</v>
      </c>
      <c r="C103" s="1" t="s">
        <v>49</v>
      </c>
      <c r="D103" s="1">
        <v>4495846</v>
      </c>
      <c r="E103" s="1">
        <v>0</v>
      </c>
      <c r="F103" s="1" t="s">
        <v>139</v>
      </c>
      <c r="G103" s="1" t="s">
        <v>24</v>
      </c>
      <c r="H103" s="2">
        <v>39139</v>
      </c>
      <c r="I103" s="2">
        <v>41679</v>
      </c>
      <c r="J103" s="2">
        <v>41951</v>
      </c>
      <c r="K103" s="3">
        <v>40000</v>
      </c>
      <c r="L103" s="3">
        <v>37000</v>
      </c>
      <c r="M103" s="3">
        <v>-3000</v>
      </c>
      <c r="N103" s="1">
        <v>0</v>
      </c>
      <c r="O103" s="1">
        <v>1</v>
      </c>
      <c r="P103" s="1">
        <v>1</v>
      </c>
      <c r="Q103" s="3"/>
      <c r="R103" s="3"/>
      <c r="S103" s="3">
        <v>-3000</v>
      </c>
      <c r="T103" s="1">
        <v>0.74520549999999997</v>
      </c>
      <c r="U103" s="3"/>
      <c r="V103" s="3"/>
      <c r="X103" s="1">
        <v>-3000</v>
      </c>
      <c r="Y103" s="22">
        <v>0.74520549999999997</v>
      </c>
      <c r="Z103" s="4">
        <f>Table1[[#This Row],[totalTimeKept]]*$AD$3</f>
        <v>11178.082499999999</v>
      </c>
      <c r="AA103" s="4">
        <f>Y103-Z103</f>
        <v>-11177.337294499999</v>
      </c>
    </row>
    <row r="104" spans="1:27" x14ac:dyDescent="0.3">
      <c r="A104" s="1">
        <v>8004572</v>
      </c>
      <c r="B104" s="1" t="s">
        <v>228</v>
      </c>
      <c r="C104" s="1" t="s">
        <v>229</v>
      </c>
      <c r="D104" s="1">
        <v>1182027</v>
      </c>
      <c r="E104" s="1">
        <v>0</v>
      </c>
      <c r="F104" s="1" t="s">
        <v>24</v>
      </c>
      <c r="G104" s="1" t="s">
        <v>24</v>
      </c>
      <c r="H104" s="2">
        <v>39141</v>
      </c>
      <c r="I104" s="2">
        <v>41219</v>
      </c>
      <c r="J104" s="2">
        <v>41584</v>
      </c>
      <c r="K104" s="3">
        <v>325000</v>
      </c>
      <c r="L104" s="3">
        <v>275000</v>
      </c>
      <c r="M104" s="3">
        <v>-50000</v>
      </c>
      <c r="N104" s="1">
        <v>0</v>
      </c>
      <c r="O104" s="1">
        <v>1</v>
      </c>
      <c r="P104" s="1">
        <v>1</v>
      </c>
      <c r="Q104" s="3">
        <v>0</v>
      </c>
      <c r="R104" s="3"/>
      <c r="S104" s="3">
        <v>-50000</v>
      </c>
      <c r="T104" s="1">
        <v>1</v>
      </c>
      <c r="U104" s="3">
        <v>130000</v>
      </c>
      <c r="V104" s="3">
        <v>0</v>
      </c>
      <c r="W104" s="1">
        <v>1.750685</v>
      </c>
      <c r="X104" s="1">
        <v>80000</v>
      </c>
      <c r="Y104" s="22">
        <v>2.7506849999999998</v>
      </c>
      <c r="Z104" s="4">
        <f>Table1[[#This Row],[totalTimeKept]]*$AD$3</f>
        <v>41260.274999999994</v>
      </c>
      <c r="AA104" s="4">
        <f>Y104-Z104</f>
        <v>-41257.524314999995</v>
      </c>
    </row>
    <row r="105" spans="1:27" x14ac:dyDescent="0.3">
      <c r="A105" s="1">
        <v>8015630</v>
      </c>
      <c r="B105" s="1" t="s">
        <v>230</v>
      </c>
      <c r="C105" s="1" t="s">
        <v>231</v>
      </c>
      <c r="D105" s="1">
        <v>1225873</v>
      </c>
      <c r="E105" s="1">
        <v>0</v>
      </c>
      <c r="F105" s="1" t="s">
        <v>24</v>
      </c>
      <c r="G105" s="1" t="s">
        <v>24</v>
      </c>
      <c r="H105" s="2">
        <v>39147</v>
      </c>
      <c r="I105" s="2">
        <v>41584</v>
      </c>
      <c r="J105" s="2">
        <v>41946</v>
      </c>
      <c r="K105" s="3">
        <v>635000</v>
      </c>
      <c r="L105" s="3">
        <v>340000</v>
      </c>
      <c r="M105" s="3">
        <v>-295000</v>
      </c>
      <c r="N105" s="1">
        <v>0</v>
      </c>
      <c r="O105" s="1">
        <v>1</v>
      </c>
      <c r="P105" s="1">
        <v>1</v>
      </c>
      <c r="Q105" s="3">
        <v>0</v>
      </c>
      <c r="R105" s="3"/>
      <c r="S105" s="3">
        <v>-295000</v>
      </c>
      <c r="T105" s="1">
        <v>0.99178080000000002</v>
      </c>
      <c r="U105" s="3">
        <v>750000</v>
      </c>
      <c r="V105" s="3">
        <v>0</v>
      </c>
      <c r="W105" s="1">
        <v>1.4109590000000001</v>
      </c>
      <c r="X105" s="1">
        <v>455000</v>
      </c>
      <c r="Y105" s="22">
        <v>2.4027400000000001</v>
      </c>
      <c r="Z105" s="4">
        <f>Table1[[#This Row],[totalTimeKept]]*$AD$3</f>
        <v>36041.1</v>
      </c>
      <c r="AA105" s="4">
        <f>Y105-Z105</f>
        <v>-36038.697260000001</v>
      </c>
    </row>
    <row r="106" spans="1:27" x14ac:dyDescent="0.3">
      <c r="A106" s="1">
        <v>8032369</v>
      </c>
      <c r="B106" s="1" t="s">
        <v>232</v>
      </c>
      <c r="C106" s="1" t="s">
        <v>233</v>
      </c>
      <c r="D106" s="1">
        <v>4960937</v>
      </c>
      <c r="E106" s="1">
        <v>0</v>
      </c>
      <c r="F106" s="1" t="s">
        <v>24</v>
      </c>
      <c r="G106" s="1" t="s">
        <v>24</v>
      </c>
      <c r="H106" s="2">
        <v>39165</v>
      </c>
      <c r="I106" s="2">
        <v>41016</v>
      </c>
      <c r="J106" s="2">
        <v>43589</v>
      </c>
      <c r="K106" s="3">
        <v>207120</v>
      </c>
      <c r="L106" s="3">
        <v>10535</v>
      </c>
      <c r="M106" s="3">
        <v>-196585</v>
      </c>
      <c r="N106" s="1">
        <v>0</v>
      </c>
      <c r="O106" s="1">
        <v>1</v>
      </c>
      <c r="P106" s="1">
        <v>1</v>
      </c>
      <c r="Q106" s="3">
        <v>9202.4539999999997</v>
      </c>
      <c r="R106" s="3"/>
      <c r="S106" s="3">
        <v>-205787.5</v>
      </c>
      <c r="T106" s="1">
        <v>7.049315</v>
      </c>
      <c r="U106" s="3"/>
      <c r="V106" s="3"/>
      <c r="X106" s="1">
        <v>-205787.5</v>
      </c>
      <c r="Y106" s="22">
        <v>7.049315</v>
      </c>
      <c r="Z106" s="4">
        <f>Table1[[#This Row],[totalTimeKept]]*$AD$3</f>
        <v>105739.72500000001</v>
      </c>
      <c r="AA106" s="4">
        <f>Y106-Z106</f>
        <v>-105732.67568500001</v>
      </c>
    </row>
    <row r="107" spans="1:27" x14ac:dyDescent="0.3">
      <c r="A107" s="1">
        <v>8037393</v>
      </c>
      <c r="B107" s="1" t="s">
        <v>234</v>
      </c>
      <c r="C107" s="1" t="s">
        <v>235</v>
      </c>
      <c r="D107" s="1">
        <v>4660556</v>
      </c>
      <c r="E107" s="1">
        <v>0</v>
      </c>
      <c r="F107" s="1" t="s">
        <v>24</v>
      </c>
      <c r="G107" s="1" t="s">
        <v>25</v>
      </c>
      <c r="H107" s="2">
        <v>39132</v>
      </c>
      <c r="I107" s="2">
        <v>43049</v>
      </c>
      <c r="J107" s="2" t="s">
        <v>25</v>
      </c>
      <c r="K107" s="3">
        <v>135000</v>
      </c>
      <c r="L107" s="3"/>
      <c r="M107" s="3">
        <v>-135000</v>
      </c>
      <c r="N107" s="1">
        <v>0</v>
      </c>
      <c r="O107" s="1">
        <v>1</v>
      </c>
      <c r="P107" s="1">
        <v>0</v>
      </c>
      <c r="Q107" s="3">
        <v>1205185</v>
      </c>
      <c r="R107" s="3"/>
      <c r="S107" s="3">
        <v>-1340185</v>
      </c>
      <c r="T107" s="1">
        <v>7.2767119999999998</v>
      </c>
      <c r="U107" s="3">
        <v>1826093</v>
      </c>
      <c r="V107" s="3">
        <v>150000</v>
      </c>
      <c r="W107" s="1">
        <v>14.068490000000001</v>
      </c>
      <c r="X107" s="1">
        <v>485907.9</v>
      </c>
      <c r="Y107" s="22">
        <v>21.345210000000002</v>
      </c>
      <c r="Z107" s="4">
        <f>Table1[[#This Row],[totalTimeKept]]*$AD$3</f>
        <v>320178.15000000002</v>
      </c>
      <c r="AA107" s="4">
        <f>Y107-Z107</f>
        <v>-320156.80479000002</v>
      </c>
    </row>
    <row r="108" spans="1:27" x14ac:dyDescent="0.3">
      <c r="A108" s="1">
        <v>8047971</v>
      </c>
      <c r="B108" s="1" t="s">
        <v>236</v>
      </c>
      <c r="C108" s="1" t="s">
        <v>237</v>
      </c>
      <c r="D108" s="1">
        <v>6774723</v>
      </c>
      <c r="E108" s="1">
        <v>0</v>
      </c>
      <c r="F108" s="1" t="s">
        <v>24</v>
      </c>
      <c r="G108" s="1" t="s">
        <v>24</v>
      </c>
      <c r="H108" s="2">
        <v>39150</v>
      </c>
      <c r="I108" s="2">
        <v>40858</v>
      </c>
      <c r="J108" s="2">
        <v>41281</v>
      </c>
      <c r="K108" s="3">
        <v>70000</v>
      </c>
      <c r="L108" s="3">
        <v>40000</v>
      </c>
      <c r="M108" s="3">
        <v>-30000</v>
      </c>
      <c r="N108" s="1">
        <v>0</v>
      </c>
      <c r="O108" s="1">
        <v>1</v>
      </c>
      <c r="P108" s="1">
        <v>1</v>
      </c>
      <c r="Q108" s="3">
        <v>20000</v>
      </c>
      <c r="R108" s="3"/>
      <c r="S108" s="3">
        <v>-50000</v>
      </c>
      <c r="T108" s="1">
        <v>1.1589039999999999</v>
      </c>
      <c r="U108" s="3">
        <v>75000</v>
      </c>
      <c r="V108" s="3">
        <v>0</v>
      </c>
      <c r="W108" s="1">
        <v>0.67123290000000002</v>
      </c>
      <c r="X108" s="1">
        <v>25000</v>
      </c>
      <c r="Y108" s="22">
        <v>1.8301369999999999</v>
      </c>
      <c r="Z108" s="4">
        <f>Table1[[#This Row],[totalTimeKept]]*$AD$3</f>
        <v>27452.055</v>
      </c>
      <c r="AA108" s="4">
        <f>Y108-Z108</f>
        <v>-27450.224862999999</v>
      </c>
    </row>
    <row r="109" spans="1:27" x14ac:dyDescent="0.3">
      <c r="A109" s="1">
        <v>8053673</v>
      </c>
      <c r="B109" s="1" t="s">
        <v>238</v>
      </c>
      <c r="C109" s="1" t="s">
        <v>239</v>
      </c>
      <c r="D109" s="1">
        <v>4009161</v>
      </c>
      <c r="E109" s="1">
        <v>0</v>
      </c>
      <c r="F109" s="1" t="s">
        <v>24</v>
      </c>
      <c r="G109" s="1" t="s">
        <v>24</v>
      </c>
      <c r="H109" s="2">
        <v>39118</v>
      </c>
      <c r="I109" s="2">
        <v>42310</v>
      </c>
      <c r="J109" s="2">
        <v>42773</v>
      </c>
      <c r="K109" s="3">
        <v>125000</v>
      </c>
      <c r="L109" s="3">
        <v>100000</v>
      </c>
      <c r="M109" s="3">
        <v>-25000</v>
      </c>
      <c r="N109" s="1">
        <v>0</v>
      </c>
      <c r="O109" s="1">
        <v>1</v>
      </c>
      <c r="P109" s="1">
        <v>1</v>
      </c>
      <c r="Q109" s="3">
        <v>25000</v>
      </c>
      <c r="R109" s="3"/>
      <c r="S109" s="3">
        <v>-50000</v>
      </c>
      <c r="T109" s="1">
        <v>1.2684930000000001</v>
      </c>
      <c r="U109" s="3"/>
      <c r="V109" s="3"/>
      <c r="X109" s="1">
        <v>-50000</v>
      </c>
      <c r="Y109" s="22">
        <v>1.2684930000000001</v>
      </c>
      <c r="Z109" s="4">
        <f>Table1[[#This Row],[totalTimeKept]]*$AD$3</f>
        <v>19027.395</v>
      </c>
      <c r="AA109" s="4">
        <f>Y109-Z109</f>
        <v>-19026.126507000001</v>
      </c>
    </row>
    <row r="110" spans="1:27" x14ac:dyDescent="0.3">
      <c r="A110" s="1">
        <v>8056970</v>
      </c>
      <c r="B110" s="1" t="s">
        <v>240</v>
      </c>
      <c r="C110" s="1" t="s">
        <v>241</v>
      </c>
      <c r="D110" s="1">
        <v>1698001</v>
      </c>
      <c r="E110" s="1">
        <v>0</v>
      </c>
      <c r="F110" s="1" t="s">
        <v>24</v>
      </c>
      <c r="G110" s="1" t="s">
        <v>24</v>
      </c>
      <c r="H110" s="2">
        <v>39182</v>
      </c>
      <c r="I110" s="2">
        <v>41948</v>
      </c>
      <c r="J110" s="2">
        <v>43228</v>
      </c>
      <c r="K110" s="3">
        <v>120000</v>
      </c>
      <c r="L110" s="3">
        <v>31572</v>
      </c>
      <c r="M110" s="3">
        <v>-88428</v>
      </c>
      <c r="N110" s="1">
        <v>0</v>
      </c>
      <c r="O110" s="1">
        <v>1</v>
      </c>
      <c r="P110" s="1">
        <v>1</v>
      </c>
      <c r="Q110" s="3">
        <v>300000</v>
      </c>
      <c r="R110" s="3"/>
      <c r="S110" s="3">
        <v>-388428</v>
      </c>
      <c r="T110" s="1">
        <v>3.5068489999999999</v>
      </c>
      <c r="U110" s="3">
        <v>90000</v>
      </c>
      <c r="V110" s="3">
        <v>0</v>
      </c>
      <c r="W110" s="1">
        <v>0.59452059999999995</v>
      </c>
      <c r="X110" s="1">
        <v>-298428</v>
      </c>
      <c r="Y110" s="22">
        <v>4.1013700000000002</v>
      </c>
      <c r="Z110" s="4">
        <f>Table1[[#This Row],[totalTimeKept]]*$AD$3</f>
        <v>61520.55</v>
      </c>
      <c r="AA110" s="4">
        <f>Y110-Z110</f>
        <v>-61516.448630000006</v>
      </c>
    </row>
    <row r="111" spans="1:27" x14ac:dyDescent="0.3">
      <c r="A111" s="1">
        <v>8062492</v>
      </c>
      <c r="B111" s="1" t="s">
        <v>242</v>
      </c>
      <c r="C111" s="1" t="s">
        <v>243</v>
      </c>
      <c r="D111" s="1">
        <v>1278716</v>
      </c>
      <c r="E111" s="1">
        <v>0</v>
      </c>
      <c r="F111" s="1" t="s">
        <v>139</v>
      </c>
      <c r="G111" s="1" t="s">
        <v>24</v>
      </c>
      <c r="H111" s="2">
        <v>39182</v>
      </c>
      <c r="I111" s="2">
        <v>41220</v>
      </c>
      <c r="J111" s="2">
        <v>42311</v>
      </c>
      <c r="K111" s="3">
        <v>550000</v>
      </c>
      <c r="L111" s="3">
        <v>775000</v>
      </c>
      <c r="M111" s="3">
        <v>225000</v>
      </c>
      <c r="N111" s="1">
        <v>0</v>
      </c>
      <c r="O111" s="1">
        <v>1</v>
      </c>
      <c r="P111" s="1">
        <v>1</v>
      </c>
      <c r="Q111" s="3">
        <v>190000</v>
      </c>
      <c r="R111" s="3"/>
      <c r="S111" s="3">
        <v>35000</v>
      </c>
      <c r="T111" s="1">
        <v>2.9890409999999998</v>
      </c>
      <c r="U111" s="3"/>
      <c r="V111" s="3"/>
      <c r="X111" s="1">
        <v>35000</v>
      </c>
      <c r="Y111" s="22">
        <v>2.9890409999999998</v>
      </c>
      <c r="Z111" s="4">
        <f>Table1[[#This Row],[totalTimeKept]]*$AD$3</f>
        <v>44835.614999999998</v>
      </c>
      <c r="AA111" s="4">
        <f>Y111-Z111</f>
        <v>-44832.625958999997</v>
      </c>
    </row>
    <row r="112" spans="1:27" x14ac:dyDescent="0.3">
      <c r="A112" s="1">
        <v>8064031</v>
      </c>
      <c r="B112" s="1" t="s">
        <v>244</v>
      </c>
      <c r="C112" s="1" t="s">
        <v>245</v>
      </c>
      <c r="D112" s="1">
        <v>5687691</v>
      </c>
      <c r="E112" s="1">
        <v>0</v>
      </c>
      <c r="F112" s="1" t="s">
        <v>24</v>
      </c>
      <c r="G112" s="1" t="s">
        <v>25</v>
      </c>
      <c r="H112" s="2">
        <v>39174</v>
      </c>
      <c r="I112" s="2">
        <v>43409</v>
      </c>
      <c r="J112" s="2" t="s">
        <v>25</v>
      </c>
      <c r="K112" s="3">
        <v>230000</v>
      </c>
      <c r="L112" s="3"/>
      <c r="M112" s="3">
        <v>-230000</v>
      </c>
      <c r="N112" s="1">
        <v>0</v>
      </c>
      <c r="O112" s="1">
        <v>1</v>
      </c>
      <c r="P112" s="1">
        <v>0</v>
      </c>
      <c r="Q112" s="3">
        <v>627925.9</v>
      </c>
      <c r="R112" s="3"/>
      <c r="S112" s="3">
        <v>-857925.9</v>
      </c>
      <c r="T112" s="1">
        <v>6.2904109999999998</v>
      </c>
      <c r="U112" s="3">
        <v>1335000</v>
      </c>
      <c r="V112" s="3">
        <v>0</v>
      </c>
      <c r="W112" s="1">
        <v>3.621918</v>
      </c>
      <c r="X112" s="1">
        <v>477074.1</v>
      </c>
      <c r="Y112" s="22">
        <v>9.9123289999999997</v>
      </c>
      <c r="Z112" s="4">
        <f>Table1[[#This Row],[totalTimeKept]]*$AD$3</f>
        <v>148684.935</v>
      </c>
      <c r="AA112" s="4">
        <f>Y112-Z112</f>
        <v>-148675.02267099998</v>
      </c>
    </row>
    <row r="113" spans="1:27" x14ac:dyDescent="0.3">
      <c r="A113" s="1">
        <v>8069122</v>
      </c>
      <c r="B113" s="1" t="s">
        <v>246</v>
      </c>
      <c r="C113" s="1" t="s">
        <v>247</v>
      </c>
      <c r="D113" s="1">
        <v>4448540</v>
      </c>
      <c r="E113" s="1">
        <v>0</v>
      </c>
      <c r="F113" s="1" t="s">
        <v>24</v>
      </c>
      <c r="G113" s="1" t="s">
        <v>25</v>
      </c>
      <c r="H113" s="2">
        <v>39203</v>
      </c>
      <c r="I113" s="2">
        <v>43778</v>
      </c>
      <c r="J113" s="2" t="s">
        <v>25</v>
      </c>
      <c r="K113" s="3">
        <v>15000</v>
      </c>
      <c r="L113" s="3"/>
      <c r="M113" s="3">
        <v>-15000</v>
      </c>
      <c r="N113" s="1">
        <v>0</v>
      </c>
      <c r="O113" s="1">
        <v>1</v>
      </c>
      <c r="P113" s="1">
        <v>0</v>
      </c>
      <c r="Q113" s="3">
        <v>302500</v>
      </c>
      <c r="R113" s="3"/>
      <c r="S113" s="3">
        <v>-317500</v>
      </c>
      <c r="T113" s="1">
        <v>5.279452</v>
      </c>
      <c r="U113" s="3">
        <v>85000</v>
      </c>
      <c r="V113" s="3">
        <v>0</v>
      </c>
      <c r="W113" s="1">
        <v>0.67123290000000002</v>
      </c>
      <c r="X113" s="1">
        <v>-232500</v>
      </c>
      <c r="Y113" s="22">
        <v>5.950685</v>
      </c>
      <c r="Z113" s="4">
        <f>Table1[[#This Row],[totalTimeKept]]*$AD$3</f>
        <v>89260.274999999994</v>
      </c>
      <c r="AA113" s="4">
        <f>Y113-Z113</f>
        <v>-89254.324314999991</v>
      </c>
    </row>
    <row r="114" spans="1:27" x14ac:dyDescent="0.3">
      <c r="A114" s="1">
        <v>8089164</v>
      </c>
      <c r="B114" s="1" t="s">
        <v>248</v>
      </c>
      <c r="C114" s="1" t="s">
        <v>249</v>
      </c>
      <c r="D114" s="1">
        <v>6800324</v>
      </c>
      <c r="E114" s="1">
        <v>0</v>
      </c>
      <c r="F114" s="1" t="s">
        <v>24</v>
      </c>
      <c r="G114" s="1" t="s">
        <v>25</v>
      </c>
      <c r="H114" s="2">
        <v>39150</v>
      </c>
      <c r="I114" s="2">
        <v>43046</v>
      </c>
      <c r="J114" s="2" t="s">
        <v>25</v>
      </c>
      <c r="K114" s="3">
        <v>330000</v>
      </c>
      <c r="L114" s="3"/>
      <c r="M114" s="3">
        <v>-330000</v>
      </c>
      <c r="N114" s="1">
        <v>0</v>
      </c>
      <c r="O114" s="1">
        <v>1</v>
      </c>
      <c r="P114" s="1">
        <v>0</v>
      </c>
      <c r="Q114" s="3">
        <v>0</v>
      </c>
      <c r="R114" s="3"/>
      <c r="S114" s="3">
        <v>-330000</v>
      </c>
      <c r="T114" s="1">
        <v>7.2849320000000004</v>
      </c>
      <c r="U114" s="3">
        <v>400000</v>
      </c>
      <c r="V114" s="3">
        <v>0</v>
      </c>
      <c r="W114" s="1">
        <v>1.3917809999999999</v>
      </c>
      <c r="X114" s="1">
        <v>70000</v>
      </c>
      <c r="Y114" s="22">
        <v>8.6767120000000002</v>
      </c>
      <c r="Z114" s="4">
        <f>Table1[[#This Row],[totalTimeKept]]*$AD$3</f>
        <v>130150.68000000001</v>
      </c>
      <c r="AA114" s="4">
        <f>Y114-Z114</f>
        <v>-130142.00328800001</v>
      </c>
    </row>
    <row r="115" spans="1:27" x14ac:dyDescent="0.3">
      <c r="A115" s="1">
        <v>8094866</v>
      </c>
      <c r="B115" s="1" t="s">
        <v>250</v>
      </c>
      <c r="C115" s="1" t="s">
        <v>251</v>
      </c>
      <c r="D115" s="1">
        <v>4620208</v>
      </c>
      <c r="E115" s="1">
        <v>0</v>
      </c>
      <c r="F115" s="1" t="s">
        <v>24</v>
      </c>
      <c r="G115" s="1" t="s">
        <v>24</v>
      </c>
      <c r="H115" s="2">
        <v>39126</v>
      </c>
      <c r="I115" s="2">
        <v>40856</v>
      </c>
      <c r="J115" s="2">
        <v>41281</v>
      </c>
      <c r="K115" s="3">
        <v>160000</v>
      </c>
      <c r="L115" s="3">
        <v>92500</v>
      </c>
      <c r="M115" s="3">
        <v>-67500</v>
      </c>
      <c r="N115" s="1">
        <v>0</v>
      </c>
      <c r="O115" s="1">
        <v>1</v>
      </c>
      <c r="P115" s="1">
        <v>1</v>
      </c>
      <c r="Q115" s="3">
        <v>20000</v>
      </c>
      <c r="R115" s="3"/>
      <c r="S115" s="3">
        <v>-87500</v>
      </c>
      <c r="T115" s="1">
        <v>1.1643840000000001</v>
      </c>
      <c r="U115" s="3">
        <v>300000</v>
      </c>
      <c r="V115" s="3">
        <v>0</v>
      </c>
      <c r="W115" s="1">
        <v>1.4465749999999999</v>
      </c>
      <c r="X115" s="1">
        <v>212500</v>
      </c>
      <c r="Y115" s="22">
        <v>2.6109589999999998</v>
      </c>
      <c r="Z115" s="4">
        <f>Table1[[#This Row],[totalTimeKept]]*$AD$3</f>
        <v>39164.384999999995</v>
      </c>
      <c r="AA115" s="4">
        <f>Y115-Z115</f>
        <v>-39161.774040999997</v>
      </c>
    </row>
    <row r="116" spans="1:27" x14ac:dyDescent="0.3">
      <c r="A116" s="1">
        <v>8266167</v>
      </c>
      <c r="B116" s="1" t="s">
        <v>252</v>
      </c>
      <c r="C116" s="1" t="s">
        <v>253</v>
      </c>
      <c r="D116" s="1">
        <v>4004765</v>
      </c>
      <c r="E116" s="1">
        <v>0</v>
      </c>
      <c r="F116" s="1" t="s">
        <v>24</v>
      </c>
      <c r="G116" s="1" t="s">
        <v>24</v>
      </c>
      <c r="H116" s="2">
        <v>39494</v>
      </c>
      <c r="I116" s="2">
        <v>41583</v>
      </c>
      <c r="J116" s="2">
        <v>43410</v>
      </c>
      <c r="K116" s="3">
        <v>510000</v>
      </c>
      <c r="L116" s="3">
        <v>200000</v>
      </c>
      <c r="M116" s="3">
        <v>-310000</v>
      </c>
      <c r="N116" s="1">
        <v>0</v>
      </c>
      <c r="O116" s="1">
        <v>1</v>
      </c>
      <c r="P116" s="1">
        <v>1</v>
      </c>
      <c r="Q116" s="3">
        <v>235000</v>
      </c>
      <c r="R116" s="3"/>
      <c r="S116" s="3">
        <v>-545000</v>
      </c>
      <c r="T116" s="1">
        <v>5.0054790000000002</v>
      </c>
      <c r="U116" s="3">
        <v>440000</v>
      </c>
      <c r="V116" s="3">
        <v>90000</v>
      </c>
      <c r="W116" s="1">
        <v>12.827400000000001</v>
      </c>
      <c r="X116" s="1">
        <v>-105000</v>
      </c>
      <c r="Y116" s="22">
        <v>17.832879999999999</v>
      </c>
      <c r="Z116" s="4">
        <f>Table1[[#This Row],[totalTimeKept]]*$AD$3</f>
        <v>267493.2</v>
      </c>
      <c r="AA116" s="4">
        <f>Y116-Z116</f>
        <v>-267475.36712000001</v>
      </c>
    </row>
    <row r="117" spans="1:27" x14ac:dyDescent="0.3">
      <c r="A117" s="1">
        <v>8271232</v>
      </c>
      <c r="B117" s="1" t="s">
        <v>254</v>
      </c>
      <c r="C117" s="1" t="s">
        <v>255</v>
      </c>
      <c r="D117" s="1">
        <v>1119651</v>
      </c>
      <c r="E117" s="1">
        <v>0</v>
      </c>
      <c r="F117" s="1" t="s">
        <v>24</v>
      </c>
      <c r="G117" s="1" t="s">
        <v>24</v>
      </c>
      <c r="H117" s="2">
        <v>39498</v>
      </c>
      <c r="I117" s="2">
        <v>41222</v>
      </c>
      <c r="J117" s="2">
        <v>41586</v>
      </c>
      <c r="K117" s="3">
        <v>70000</v>
      </c>
      <c r="L117" s="3">
        <v>80000</v>
      </c>
      <c r="M117" s="3">
        <v>10000</v>
      </c>
      <c r="N117" s="1">
        <v>0</v>
      </c>
      <c r="O117" s="1">
        <v>1</v>
      </c>
      <c r="P117" s="1">
        <v>1</v>
      </c>
      <c r="Q117" s="3">
        <v>0</v>
      </c>
      <c r="R117" s="3"/>
      <c r="S117" s="3">
        <v>10000</v>
      </c>
      <c r="T117" s="1">
        <v>0.99726029999999999</v>
      </c>
      <c r="U117" s="3">
        <v>12000</v>
      </c>
      <c r="V117" s="3">
        <v>0</v>
      </c>
      <c r="W117" s="1">
        <v>0.98356160000000004</v>
      </c>
      <c r="X117" s="1">
        <v>22000</v>
      </c>
      <c r="Y117" s="22">
        <v>1.9808220000000001</v>
      </c>
      <c r="Z117" s="4">
        <f>Table1[[#This Row],[totalTimeKept]]*$AD$3</f>
        <v>29712.33</v>
      </c>
      <c r="AA117" s="4">
        <f>Y117-Z117</f>
        <v>-29710.349178</v>
      </c>
    </row>
    <row r="118" spans="1:27" x14ac:dyDescent="0.3">
      <c r="A118" s="1">
        <v>8290987</v>
      </c>
      <c r="B118" s="1" t="s">
        <v>256</v>
      </c>
      <c r="C118" s="1" t="s">
        <v>257</v>
      </c>
      <c r="D118" s="1">
        <v>1431330</v>
      </c>
      <c r="E118" s="1">
        <v>0</v>
      </c>
      <c r="F118" s="1" t="s">
        <v>24</v>
      </c>
      <c r="G118" s="1" t="s">
        <v>24</v>
      </c>
      <c r="H118" s="2">
        <v>39522</v>
      </c>
      <c r="I118" s="2">
        <v>42745</v>
      </c>
      <c r="J118" s="2">
        <v>43054</v>
      </c>
      <c r="K118" s="3">
        <v>50000</v>
      </c>
      <c r="L118" s="3">
        <v>30000</v>
      </c>
      <c r="M118" s="3">
        <v>-20000</v>
      </c>
      <c r="N118" s="1">
        <v>0</v>
      </c>
      <c r="O118" s="1">
        <v>1</v>
      </c>
      <c r="P118" s="1">
        <v>1</v>
      </c>
      <c r="Q118" s="3"/>
      <c r="R118" s="3"/>
      <c r="S118" s="3">
        <v>-20000</v>
      </c>
      <c r="T118" s="1">
        <v>0.84657530000000003</v>
      </c>
      <c r="U118" s="3"/>
      <c r="V118" s="3"/>
      <c r="X118" s="1">
        <v>-20000</v>
      </c>
      <c r="Y118" s="22">
        <v>0.84657530000000003</v>
      </c>
      <c r="Z118" s="4">
        <f>Table1[[#This Row],[totalTimeKept]]*$AD$3</f>
        <v>12698.629500000001</v>
      </c>
      <c r="AA118" s="4">
        <f>Y118-Z118</f>
        <v>-12697.782924700001</v>
      </c>
    </row>
    <row r="119" spans="1:27" x14ac:dyDescent="0.3">
      <c r="A119" s="1">
        <v>8293876</v>
      </c>
      <c r="B119" s="1" t="s">
        <v>258</v>
      </c>
      <c r="C119" s="1" t="s">
        <v>259</v>
      </c>
      <c r="D119" s="1">
        <v>4318679</v>
      </c>
      <c r="E119" s="1">
        <v>0</v>
      </c>
      <c r="F119" s="1" t="s">
        <v>24</v>
      </c>
      <c r="G119" s="1" t="s">
        <v>24</v>
      </c>
      <c r="H119" s="2">
        <v>39509</v>
      </c>
      <c r="I119" s="2">
        <v>41582</v>
      </c>
      <c r="J119" s="2">
        <v>41948</v>
      </c>
      <c r="K119" s="3">
        <v>1075000</v>
      </c>
      <c r="L119" s="3">
        <v>1500000</v>
      </c>
      <c r="M119" s="3">
        <v>425000</v>
      </c>
      <c r="N119" s="1">
        <v>0</v>
      </c>
      <c r="O119" s="1">
        <v>1</v>
      </c>
      <c r="P119" s="1">
        <v>1</v>
      </c>
      <c r="Q119" s="3">
        <v>0</v>
      </c>
      <c r="R119" s="3"/>
      <c r="S119" s="3">
        <v>425000</v>
      </c>
      <c r="T119" s="1">
        <v>1.00274</v>
      </c>
      <c r="U119" s="3">
        <v>280000</v>
      </c>
      <c r="V119" s="3">
        <v>0</v>
      </c>
      <c r="W119" s="1">
        <v>1.4520550000000001</v>
      </c>
      <c r="X119" s="1">
        <v>705000</v>
      </c>
      <c r="Y119" s="22">
        <v>2.4547940000000001</v>
      </c>
      <c r="Z119" s="4">
        <f>Table1[[#This Row],[totalTimeKept]]*$AD$3</f>
        <v>36821.910000000003</v>
      </c>
      <c r="AA119" s="4">
        <f>Y119-Z119</f>
        <v>-36819.455206000006</v>
      </c>
    </row>
    <row r="120" spans="1:27" x14ac:dyDescent="0.3">
      <c r="A120" s="1">
        <v>8296004</v>
      </c>
      <c r="B120" s="1" t="s">
        <v>260</v>
      </c>
      <c r="C120" s="1" t="s">
        <v>261</v>
      </c>
      <c r="D120" s="1">
        <v>5691825</v>
      </c>
      <c r="E120" s="1">
        <v>0</v>
      </c>
      <c r="F120" s="1" t="s">
        <v>24</v>
      </c>
      <c r="G120" s="1" t="s">
        <v>24</v>
      </c>
      <c r="H120" s="2">
        <v>39529</v>
      </c>
      <c r="I120" s="2">
        <v>41951</v>
      </c>
      <c r="J120" s="2">
        <v>42312</v>
      </c>
      <c r="K120" s="3">
        <v>140000</v>
      </c>
      <c r="L120" s="3">
        <v>160000</v>
      </c>
      <c r="M120" s="3">
        <v>20000</v>
      </c>
      <c r="N120" s="1">
        <v>0</v>
      </c>
      <c r="O120" s="1">
        <v>1</v>
      </c>
      <c r="P120" s="1">
        <v>1</v>
      </c>
      <c r="Q120" s="3">
        <v>0</v>
      </c>
      <c r="R120" s="3"/>
      <c r="S120" s="3">
        <v>20000</v>
      </c>
      <c r="T120" s="1">
        <v>0.98904110000000001</v>
      </c>
      <c r="U120" s="3">
        <v>3000</v>
      </c>
      <c r="V120" s="3">
        <v>0</v>
      </c>
      <c r="W120" s="1">
        <v>1.6575340000000001</v>
      </c>
      <c r="X120" s="1">
        <v>23000</v>
      </c>
      <c r="Y120" s="22">
        <v>2.6465749999999999</v>
      </c>
      <c r="Z120" s="4">
        <f>Table1[[#This Row],[totalTimeKept]]*$AD$3</f>
        <v>39698.625</v>
      </c>
      <c r="AA120" s="4">
        <f>Y120-Z120</f>
        <v>-39695.978425000001</v>
      </c>
    </row>
    <row r="121" spans="1:27" x14ac:dyDescent="0.3">
      <c r="A121" s="1">
        <v>8298077</v>
      </c>
      <c r="B121" s="1" t="s">
        <v>262</v>
      </c>
      <c r="C121" s="1" t="s">
        <v>263</v>
      </c>
      <c r="D121" s="1">
        <v>6443659</v>
      </c>
      <c r="E121" s="1">
        <v>0</v>
      </c>
      <c r="F121" s="1" t="s">
        <v>24</v>
      </c>
      <c r="G121" s="1" t="s">
        <v>25</v>
      </c>
      <c r="H121" s="2">
        <v>39505</v>
      </c>
      <c r="I121" s="2">
        <v>43408</v>
      </c>
      <c r="J121" s="2" t="s">
        <v>25</v>
      </c>
      <c r="K121" s="3">
        <v>775000</v>
      </c>
      <c r="L121" s="3"/>
      <c r="M121" s="3">
        <v>-775000</v>
      </c>
      <c r="N121" s="1">
        <v>0</v>
      </c>
      <c r="O121" s="1">
        <v>1</v>
      </c>
      <c r="P121" s="1">
        <v>0</v>
      </c>
      <c r="Q121" s="3">
        <v>20000</v>
      </c>
      <c r="R121" s="3"/>
      <c r="S121" s="3">
        <v>-795000</v>
      </c>
      <c r="T121" s="1">
        <v>6.2931509999999999</v>
      </c>
      <c r="U121" s="3">
        <v>360000</v>
      </c>
      <c r="V121" s="3">
        <v>0</v>
      </c>
      <c r="W121" s="1">
        <v>2.8794520000000001</v>
      </c>
      <c r="X121" s="1">
        <v>-435000</v>
      </c>
      <c r="Y121" s="22">
        <v>9.1726030000000005</v>
      </c>
      <c r="Z121" s="4">
        <f>Table1[[#This Row],[totalTimeKept]]*$AD$3</f>
        <v>137589.04500000001</v>
      </c>
      <c r="AA121" s="4">
        <f>Y121-Z121</f>
        <v>-137579.872397</v>
      </c>
    </row>
    <row r="122" spans="1:27" x14ac:dyDescent="0.3">
      <c r="A122" s="1">
        <v>8303572</v>
      </c>
      <c r="B122" s="1" t="s">
        <v>264</v>
      </c>
      <c r="C122" s="1" t="s">
        <v>265</v>
      </c>
      <c r="D122" s="1">
        <v>4665205</v>
      </c>
      <c r="E122" s="1">
        <v>0</v>
      </c>
      <c r="F122" s="1" t="s">
        <v>24</v>
      </c>
      <c r="G122" s="1" t="s">
        <v>25</v>
      </c>
      <c r="H122" s="2">
        <v>39511</v>
      </c>
      <c r="I122" s="2">
        <v>43776</v>
      </c>
      <c r="J122" s="2" t="s">
        <v>25</v>
      </c>
      <c r="K122" s="3">
        <v>220000</v>
      </c>
      <c r="L122" s="3"/>
      <c r="M122" s="3">
        <v>-220000</v>
      </c>
      <c r="N122" s="1">
        <v>0</v>
      </c>
      <c r="O122" s="1">
        <v>1</v>
      </c>
      <c r="P122" s="1">
        <v>0</v>
      </c>
      <c r="Q122" s="3">
        <v>85000</v>
      </c>
      <c r="R122" s="3"/>
      <c r="S122" s="3">
        <v>-305000</v>
      </c>
      <c r="T122" s="1">
        <v>5.2849320000000004</v>
      </c>
      <c r="U122" s="3">
        <v>-17500</v>
      </c>
      <c r="V122" s="3">
        <v>17500</v>
      </c>
      <c r="W122" s="1">
        <v>5.0958909999999999</v>
      </c>
      <c r="X122" s="1">
        <v>-322500</v>
      </c>
      <c r="Y122" s="22">
        <v>10.38082</v>
      </c>
      <c r="Z122" s="4">
        <f>Table1[[#This Row],[totalTimeKept]]*$AD$3</f>
        <v>155712.29999999999</v>
      </c>
      <c r="AA122" s="4">
        <f>Y122-Z122</f>
        <v>-155701.91918</v>
      </c>
    </row>
    <row r="123" spans="1:27" x14ac:dyDescent="0.3">
      <c r="A123" s="1">
        <v>8310254</v>
      </c>
      <c r="B123" s="1" t="s">
        <v>266</v>
      </c>
      <c r="C123" s="1" t="s">
        <v>267</v>
      </c>
      <c r="D123" s="1">
        <v>5336680</v>
      </c>
      <c r="E123" s="1">
        <v>0</v>
      </c>
      <c r="F123" s="1" t="s">
        <v>24</v>
      </c>
      <c r="G123" s="1" t="s">
        <v>24</v>
      </c>
      <c r="H123" s="2">
        <v>39513</v>
      </c>
      <c r="I123" s="2">
        <v>43046</v>
      </c>
      <c r="J123" s="2">
        <v>43388</v>
      </c>
      <c r="K123" s="3">
        <v>135000</v>
      </c>
      <c r="L123" s="3">
        <v>105000</v>
      </c>
      <c r="M123" s="3">
        <v>-30000</v>
      </c>
      <c r="N123" s="1">
        <v>0</v>
      </c>
      <c r="O123" s="1">
        <v>1</v>
      </c>
      <c r="P123" s="1">
        <v>1</v>
      </c>
      <c r="Q123" s="3">
        <v>0</v>
      </c>
      <c r="R123" s="3"/>
      <c r="S123" s="3">
        <v>-30000</v>
      </c>
      <c r="T123" s="1">
        <v>0.93698630000000005</v>
      </c>
      <c r="U123" s="3">
        <v>320000</v>
      </c>
      <c r="V123" s="3">
        <v>0</v>
      </c>
      <c r="W123" s="1">
        <v>1.4164380000000001</v>
      </c>
      <c r="X123" s="1">
        <v>290000</v>
      </c>
      <c r="Y123" s="22">
        <v>2.3534250000000001</v>
      </c>
      <c r="Z123" s="4">
        <f>Table1[[#This Row],[totalTimeKept]]*$AD$3</f>
        <v>35301.375</v>
      </c>
      <c r="AA123" s="4">
        <f>Y123-Z123</f>
        <v>-35299.021574999999</v>
      </c>
    </row>
    <row r="124" spans="1:27" x14ac:dyDescent="0.3">
      <c r="A124" s="1">
        <v>8331381</v>
      </c>
      <c r="B124" s="1" t="s">
        <v>268</v>
      </c>
      <c r="C124" s="1" t="s">
        <v>269</v>
      </c>
      <c r="D124" s="1">
        <v>5335940</v>
      </c>
      <c r="E124" s="1">
        <v>0</v>
      </c>
      <c r="F124" s="1" t="s">
        <v>139</v>
      </c>
      <c r="G124" s="1" t="s">
        <v>24</v>
      </c>
      <c r="H124" s="2">
        <v>39561</v>
      </c>
      <c r="I124" s="2">
        <v>41582</v>
      </c>
      <c r="J124" s="2">
        <v>42310</v>
      </c>
      <c r="K124" s="3">
        <v>425000</v>
      </c>
      <c r="L124" s="3">
        <v>700000</v>
      </c>
      <c r="M124" s="3">
        <v>275000</v>
      </c>
      <c r="N124" s="1">
        <v>0</v>
      </c>
      <c r="O124" s="1">
        <v>1</v>
      </c>
      <c r="P124" s="1">
        <v>1</v>
      </c>
      <c r="Q124" s="3">
        <v>80000</v>
      </c>
      <c r="R124" s="3"/>
      <c r="S124" s="3">
        <v>195000</v>
      </c>
      <c r="T124" s="1">
        <v>1.994521</v>
      </c>
      <c r="U124" s="3"/>
      <c r="V124" s="3"/>
      <c r="X124" s="1">
        <v>195000</v>
      </c>
      <c r="Y124" s="22">
        <v>1.994521</v>
      </c>
      <c r="Z124" s="4">
        <f>Table1[[#This Row],[totalTimeKept]]*$AD$3</f>
        <v>29917.814999999999</v>
      </c>
      <c r="AA124" s="4">
        <f>Y124-Z124</f>
        <v>-29915.820478999998</v>
      </c>
    </row>
    <row r="125" spans="1:27" x14ac:dyDescent="0.3">
      <c r="A125" s="1">
        <v>8337012</v>
      </c>
      <c r="B125" s="1" t="s">
        <v>270</v>
      </c>
      <c r="C125" s="1" t="s">
        <v>271</v>
      </c>
      <c r="D125" s="1">
        <v>1315232</v>
      </c>
      <c r="E125" s="1">
        <v>0</v>
      </c>
      <c r="F125" s="1" t="s">
        <v>24</v>
      </c>
      <c r="G125" s="1" t="s">
        <v>25</v>
      </c>
      <c r="H125" s="2">
        <v>39579</v>
      </c>
      <c r="I125" s="2">
        <v>42681</v>
      </c>
      <c r="J125" s="2" t="s">
        <v>25</v>
      </c>
      <c r="K125" s="3">
        <v>100000</v>
      </c>
      <c r="L125" s="3"/>
      <c r="M125" s="3">
        <v>-100000</v>
      </c>
      <c r="N125" s="1">
        <v>0</v>
      </c>
      <c r="O125" s="1">
        <v>1</v>
      </c>
      <c r="P125" s="1">
        <v>0</v>
      </c>
      <c r="Q125" s="3">
        <v>145000</v>
      </c>
      <c r="R125" s="3"/>
      <c r="S125" s="3">
        <v>-245000</v>
      </c>
      <c r="T125" s="1">
        <v>8.2849310000000003</v>
      </c>
      <c r="U125" s="3">
        <v>102000</v>
      </c>
      <c r="V125" s="3">
        <v>0</v>
      </c>
      <c r="W125" s="1">
        <v>11.65479</v>
      </c>
      <c r="X125" s="1">
        <v>-143000</v>
      </c>
      <c r="Y125" s="22">
        <v>19.939730000000001</v>
      </c>
      <c r="Z125" s="4">
        <f>Table1[[#This Row],[totalTimeKept]]*$AD$3</f>
        <v>299095.95</v>
      </c>
      <c r="AA125" s="4">
        <f>Y125-Z125</f>
        <v>-299076.01027000003</v>
      </c>
    </row>
    <row r="126" spans="1:27" x14ac:dyDescent="0.3">
      <c r="A126" s="1">
        <v>8337664</v>
      </c>
      <c r="B126" s="1" t="s">
        <v>272</v>
      </c>
      <c r="C126" s="1" t="s">
        <v>273</v>
      </c>
      <c r="D126" s="1">
        <v>4329991</v>
      </c>
      <c r="E126" s="1">
        <v>0</v>
      </c>
      <c r="F126" s="1" t="s">
        <v>24</v>
      </c>
      <c r="G126" s="1" t="s">
        <v>24</v>
      </c>
      <c r="H126" s="2">
        <v>39566</v>
      </c>
      <c r="I126" s="2">
        <v>41585</v>
      </c>
      <c r="J126" s="2">
        <v>41948</v>
      </c>
      <c r="K126" s="3">
        <v>200000</v>
      </c>
      <c r="L126" s="3">
        <v>200000</v>
      </c>
      <c r="M126" s="3">
        <v>0</v>
      </c>
      <c r="N126" s="1">
        <v>0</v>
      </c>
      <c r="O126" s="1">
        <v>1</v>
      </c>
      <c r="P126" s="1">
        <v>1</v>
      </c>
      <c r="Q126" s="3">
        <v>0</v>
      </c>
      <c r="R126" s="3"/>
      <c r="S126" s="3">
        <v>0</v>
      </c>
      <c r="T126" s="1">
        <v>0.99452050000000003</v>
      </c>
      <c r="U126" s="3">
        <v>250000</v>
      </c>
      <c r="V126" s="3">
        <v>0</v>
      </c>
      <c r="W126" s="1">
        <v>1.473973</v>
      </c>
      <c r="X126" s="1">
        <v>250000</v>
      </c>
      <c r="Y126" s="22">
        <v>2.468493</v>
      </c>
      <c r="Z126" s="4">
        <f>Table1[[#This Row],[totalTimeKept]]*$AD$3</f>
        <v>37027.395000000004</v>
      </c>
      <c r="AA126" s="4">
        <f>Y126-Z126</f>
        <v>-37024.926507000004</v>
      </c>
    </row>
    <row r="127" spans="1:27" x14ac:dyDescent="0.3">
      <c r="A127" s="1">
        <v>8340934</v>
      </c>
      <c r="B127" s="1" t="s">
        <v>274</v>
      </c>
      <c r="C127" s="1" t="s">
        <v>275</v>
      </c>
      <c r="D127" s="1">
        <v>1310566</v>
      </c>
      <c r="E127" s="1">
        <v>0</v>
      </c>
      <c r="F127" s="1" t="s">
        <v>25</v>
      </c>
      <c r="G127" s="1" t="s">
        <v>46</v>
      </c>
      <c r="H127" s="2">
        <v>39571</v>
      </c>
      <c r="I127" s="1" t="s">
        <v>25</v>
      </c>
      <c r="J127" s="2">
        <v>40072</v>
      </c>
      <c r="K127" s="3"/>
      <c r="L127" s="3">
        <v>80000</v>
      </c>
      <c r="M127" s="3">
        <v>80000</v>
      </c>
      <c r="N127" s="1">
        <v>1</v>
      </c>
      <c r="O127" s="1">
        <v>0</v>
      </c>
      <c r="P127" s="1">
        <v>1</v>
      </c>
      <c r="Q127" s="3"/>
      <c r="R127" s="3"/>
      <c r="S127" s="3">
        <v>80000</v>
      </c>
      <c r="T127" s="1">
        <v>1.372603</v>
      </c>
      <c r="U127" s="3"/>
      <c r="V127" s="3"/>
      <c r="X127" s="1">
        <v>80000</v>
      </c>
      <c r="Y127" s="22">
        <v>1.372603</v>
      </c>
      <c r="Z127" s="4">
        <f>Table1[[#This Row],[totalTimeKept]]*$AD$3</f>
        <v>20589.045000000002</v>
      </c>
      <c r="AA127" s="4">
        <f>Y127-Z127</f>
        <v>-20587.672397000002</v>
      </c>
    </row>
    <row r="128" spans="1:27" x14ac:dyDescent="0.3">
      <c r="A128" s="1">
        <v>8340935</v>
      </c>
      <c r="B128" s="1" t="s">
        <v>276</v>
      </c>
      <c r="C128" s="1" t="s">
        <v>277</v>
      </c>
      <c r="D128" s="1">
        <v>1268482</v>
      </c>
      <c r="E128" s="1">
        <v>590</v>
      </c>
      <c r="F128" s="1" t="s">
        <v>25</v>
      </c>
      <c r="G128" s="1" t="s">
        <v>24</v>
      </c>
      <c r="H128" s="2">
        <v>39581</v>
      </c>
      <c r="I128" s="1" t="s">
        <v>25</v>
      </c>
      <c r="J128" s="2">
        <v>41952</v>
      </c>
      <c r="K128" s="3"/>
      <c r="L128" s="3">
        <v>35000</v>
      </c>
      <c r="M128" s="3">
        <v>35000</v>
      </c>
      <c r="N128" s="1">
        <v>1</v>
      </c>
      <c r="O128" s="1">
        <v>0</v>
      </c>
      <c r="P128" s="1">
        <v>1</v>
      </c>
      <c r="Q128" s="3">
        <v>42500</v>
      </c>
      <c r="R128" s="3"/>
      <c r="S128" s="3">
        <v>-6910.0010000000002</v>
      </c>
      <c r="T128" s="1">
        <v>6.4958910000000003</v>
      </c>
      <c r="U128" s="3">
        <v>44000</v>
      </c>
      <c r="V128" s="3">
        <v>0</v>
      </c>
      <c r="W128" s="1">
        <v>3.7397260000000001</v>
      </c>
      <c r="X128" s="1">
        <v>37090</v>
      </c>
      <c r="Y128" s="22">
        <v>10.235620000000001</v>
      </c>
      <c r="Z128" s="4">
        <f>Table1[[#This Row],[totalTimeKept]]*$AD$3</f>
        <v>153534.30000000002</v>
      </c>
      <c r="AA128" s="4">
        <f>Y128-Z128</f>
        <v>-153524.06438000003</v>
      </c>
    </row>
    <row r="129" spans="1:27" x14ac:dyDescent="0.3">
      <c r="A129" s="1">
        <v>8356627</v>
      </c>
      <c r="B129" s="1" t="s">
        <v>278</v>
      </c>
      <c r="C129" s="1" t="s">
        <v>279</v>
      </c>
      <c r="D129" s="1">
        <v>4055353</v>
      </c>
      <c r="E129" s="1">
        <v>0</v>
      </c>
      <c r="F129" s="1" t="s">
        <v>139</v>
      </c>
      <c r="G129" s="1" t="s">
        <v>24</v>
      </c>
      <c r="H129" s="2">
        <v>39544</v>
      </c>
      <c r="I129" s="2">
        <v>41582</v>
      </c>
      <c r="J129" s="2">
        <v>42311</v>
      </c>
      <c r="K129" s="3">
        <v>200000</v>
      </c>
      <c r="L129" s="3">
        <v>175000</v>
      </c>
      <c r="M129" s="3">
        <v>-25000</v>
      </c>
      <c r="N129" s="1">
        <v>0</v>
      </c>
      <c r="O129" s="1">
        <v>1</v>
      </c>
      <c r="P129" s="1">
        <v>1</v>
      </c>
      <c r="Q129" s="3">
        <v>20000</v>
      </c>
      <c r="R129" s="3"/>
      <c r="S129" s="3">
        <v>-45000</v>
      </c>
      <c r="T129" s="1">
        <v>1.99726</v>
      </c>
      <c r="U129" s="3">
        <v>70000</v>
      </c>
      <c r="V129" s="3">
        <v>0</v>
      </c>
      <c r="W129" s="1">
        <v>1.5424659999999999</v>
      </c>
      <c r="X129" s="1">
        <v>25000</v>
      </c>
      <c r="Y129" s="22">
        <v>3.5397259999999999</v>
      </c>
      <c r="Z129" s="4">
        <f>Table1[[#This Row],[totalTimeKept]]*$AD$3</f>
        <v>53095.89</v>
      </c>
      <c r="AA129" s="4">
        <f>Y129-Z129</f>
        <v>-53092.350273999997</v>
      </c>
    </row>
    <row r="130" spans="1:27" x14ac:dyDescent="0.3">
      <c r="A130" s="1">
        <v>8366395</v>
      </c>
      <c r="B130" s="1" t="s">
        <v>280</v>
      </c>
      <c r="C130" s="1" t="s">
        <v>281</v>
      </c>
      <c r="D130" s="1">
        <v>5206615</v>
      </c>
      <c r="E130" s="1">
        <v>0</v>
      </c>
      <c r="F130" s="1" t="s">
        <v>139</v>
      </c>
      <c r="G130" s="1" t="s">
        <v>24</v>
      </c>
      <c r="H130" s="2">
        <v>39544</v>
      </c>
      <c r="I130" s="2">
        <v>41582</v>
      </c>
      <c r="J130" s="2">
        <v>42310</v>
      </c>
      <c r="K130" s="3">
        <v>240000</v>
      </c>
      <c r="L130" s="3">
        <v>490000</v>
      </c>
      <c r="M130" s="3">
        <v>250000</v>
      </c>
      <c r="N130" s="1">
        <v>0</v>
      </c>
      <c r="O130" s="1">
        <v>1</v>
      </c>
      <c r="P130" s="1">
        <v>1</v>
      </c>
      <c r="Q130" s="3">
        <v>20000</v>
      </c>
      <c r="R130" s="3"/>
      <c r="S130" s="3">
        <v>230000</v>
      </c>
      <c r="T130" s="1">
        <v>1.994521</v>
      </c>
      <c r="U130" s="3">
        <v>32000</v>
      </c>
      <c r="V130" s="3">
        <v>0</v>
      </c>
      <c r="W130" s="1">
        <v>1.4547950000000001</v>
      </c>
      <c r="X130" s="1">
        <v>262000</v>
      </c>
      <c r="Y130" s="22">
        <v>3.4493149999999999</v>
      </c>
      <c r="Z130" s="4">
        <f>Table1[[#This Row],[totalTimeKept]]*$AD$3</f>
        <v>51739.724999999999</v>
      </c>
      <c r="AA130" s="4">
        <f>Y130-Z130</f>
        <v>-51736.275685000001</v>
      </c>
    </row>
    <row r="131" spans="1:27" x14ac:dyDescent="0.3">
      <c r="A131" s="1">
        <v>8372016</v>
      </c>
      <c r="B131" s="1" t="s">
        <v>282</v>
      </c>
      <c r="C131" s="1" t="s">
        <v>283</v>
      </c>
      <c r="D131" s="1">
        <v>5394267</v>
      </c>
      <c r="E131" s="1">
        <v>0</v>
      </c>
      <c r="F131" s="1" t="s">
        <v>139</v>
      </c>
      <c r="G131" s="1" t="s">
        <v>24</v>
      </c>
      <c r="H131" s="2">
        <v>39534</v>
      </c>
      <c r="I131" s="2">
        <v>41946</v>
      </c>
      <c r="J131" s="2">
        <v>42684</v>
      </c>
      <c r="K131" s="3">
        <v>300000</v>
      </c>
      <c r="L131" s="3">
        <v>580000</v>
      </c>
      <c r="M131" s="3">
        <v>280000</v>
      </c>
      <c r="N131" s="1">
        <v>0</v>
      </c>
      <c r="O131" s="1">
        <v>1</v>
      </c>
      <c r="P131" s="1">
        <v>1</v>
      </c>
      <c r="Q131" s="3">
        <v>30000</v>
      </c>
      <c r="R131" s="3"/>
      <c r="S131" s="3">
        <v>250000</v>
      </c>
      <c r="T131" s="1">
        <v>2.0219179999999999</v>
      </c>
      <c r="U131" s="3">
        <v>140000</v>
      </c>
      <c r="V131" s="3">
        <v>0</v>
      </c>
      <c r="W131" s="1">
        <v>0.78356159999999997</v>
      </c>
      <c r="X131" s="1">
        <v>390000</v>
      </c>
      <c r="Y131" s="22">
        <v>2.8054800000000002</v>
      </c>
      <c r="Z131" s="4">
        <f>Table1[[#This Row],[totalTimeKept]]*$AD$3</f>
        <v>42082.200000000004</v>
      </c>
      <c r="AA131" s="4">
        <f>Y131-Z131</f>
        <v>-42079.394520000002</v>
      </c>
    </row>
    <row r="132" spans="1:27" x14ac:dyDescent="0.3">
      <c r="A132" s="1">
        <v>8404423</v>
      </c>
      <c r="B132" s="1" t="s">
        <v>284</v>
      </c>
      <c r="C132" s="1" t="s">
        <v>285</v>
      </c>
      <c r="D132" s="1">
        <v>4469257</v>
      </c>
      <c r="E132" s="1">
        <v>0</v>
      </c>
      <c r="F132" s="1" t="s">
        <v>24</v>
      </c>
      <c r="G132" s="1" t="s">
        <v>24</v>
      </c>
      <c r="H132" s="2">
        <v>39488</v>
      </c>
      <c r="I132" s="2">
        <v>41222</v>
      </c>
      <c r="J132" s="2">
        <v>41585</v>
      </c>
      <c r="K132" s="3">
        <v>125000</v>
      </c>
      <c r="L132" s="3">
        <v>80000</v>
      </c>
      <c r="M132" s="3">
        <v>-45000</v>
      </c>
      <c r="N132" s="1">
        <v>0</v>
      </c>
      <c r="O132" s="1">
        <v>1</v>
      </c>
      <c r="P132" s="1">
        <v>1</v>
      </c>
      <c r="Q132" s="3">
        <v>0</v>
      </c>
      <c r="R132" s="3"/>
      <c r="S132" s="3">
        <v>-45000</v>
      </c>
      <c r="T132" s="1">
        <v>0.99452050000000003</v>
      </c>
      <c r="U132" s="3">
        <v>67000</v>
      </c>
      <c r="V132" s="3">
        <v>0</v>
      </c>
      <c r="W132" s="1">
        <v>1.5506850000000001</v>
      </c>
      <c r="X132" s="1">
        <v>22000</v>
      </c>
      <c r="Y132" s="22">
        <v>2.5452059999999999</v>
      </c>
      <c r="Z132" s="4">
        <f>Table1[[#This Row],[totalTimeKept]]*$AD$3</f>
        <v>38178.089999999997</v>
      </c>
      <c r="AA132" s="4">
        <f>Y132-Z132</f>
        <v>-38175.544793999994</v>
      </c>
    </row>
    <row r="133" spans="1:27" x14ac:dyDescent="0.3">
      <c r="A133" s="1">
        <v>8420711</v>
      </c>
      <c r="B133" s="1" t="s">
        <v>286</v>
      </c>
      <c r="C133" s="1" t="s">
        <v>287</v>
      </c>
      <c r="D133" s="1">
        <v>7152059</v>
      </c>
      <c r="E133" s="1">
        <v>0</v>
      </c>
      <c r="F133" s="1" t="s">
        <v>139</v>
      </c>
      <c r="G133" s="1" t="s">
        <v>24</v>
      </c>
      <c r="H133" s="2">
        <v>39512</v>
      </c>
      <c r="I133" s="2">
        <v>40880</v>
      </c>
      <c r="J133" s="2">
        <v>41975</v>
      </c>
      <c r="K133" s="3">
        <v>214240</v>
      </c>
      <c r="L133" s="3">
        <v>115608</v>
      </c>
      <c r="M133" s="3">
        <v>-98632</v>
      </c>
      <c r="N133" s="1">
        <v>0</v>
      </c>
      <c r="O133" s="1">
        <v>1</v>
      </c>
      <c r="P133" s="1">
        <v>1</v>
      </c>
      <c r="Q133" s="3">
        <v>73548.39</v>
      </c>
      <c r="R133" s="3"/>
      <c r="S133" s="3">
        <v>-172180.4</v>
      </c>
      <c r="T133" s="1">
        <v>3</v>
      </c>
      <c r="U133" s="3">
        <v>25000</v>
      </c>
      <c r="V133" s="3">
        <v>0</v>
      </c>
      <c r="W133" s="1">
        <v>0.89863009999999999</v>
      </c>
      <c r="X133" s="1">
        <v>-147180.4</v>
      </c>
      <c r="Y133" s="22">
        <v>3.8986299999999998</v>
      </c>
      <c r="Z133" s="4">
        <f>Table1[[#This Row],[totalTimeKept]]*$AD$3</f>
        <v>58479.45</v>
      </c>
      <c r="AA133" s="4">
        <f>Y133-Z133</f>
        <v>-58475.551369999994</v>
      </c>
    </row>
    <row r="134" spans="1:27" x14ac:dyDescent="0.3">
      <c r="A134" s="1">
        <v>8546972</v>
      </c>
      <c r="B134" s="1" t="s">
        <v>288</v>
      </c>
      <c r="C134" s="1" t="s">
        <v>289</v>
      </c>
      <c r="D134" s="1">
        <v>6502630</v>
      </c>
      <c r="E134" s="1">
        <v>25000</v>
      </c>
      <c r="F134" s="1" t="s">
        <v>139</v>
      </c>
      <c r="G134" s="1" t="s">
        <v>24</v>
      </c>
      <c r="H134" s="2">
        <v>39855</v>
      </c>
      <c r="I134" s="2">
        <v>41946</v>
      </c>
      <c r="J134" s="2">
        <v>43408</v>
      </c>
      <c r="K134" s="3">
        <v>750000</v>
      </c>
      <c r="L134" s="3">
        <v>325000</v>
      </c>
      <c r="M134" s="3">
        <v>-425000</v>
      </c>
      <c r="N134" s="1">
        <v>0</v>
      </c>
      <c r="O134" s="1">
        <v>1</v>
      </c>
      <c r="P134" s="1">
        <v>1</v>
      </c>
      <c r="Q134" s="3">
        <v>125000</v>
      </c>
      <c r="R134" s="3"/>
      <c r="S134" s="3">
        <v>-525000</v>
      </c>
      <c r="T134" s="1">
        <v>4.0054790000000002</v>
      </c>
      <c r="U134" s="3">
        <v>-29000</v>
      </c>
      <c r="V134" s="3">
        <v>45000</v>
      </c>
      <c r="W134" s="1">
        <v>10.180820000000001</v>
      </c>
      <c r="X134" s="1">
        <v>-554000</v>
      </c>
      <c r="Y134" s="22">
        <v>14.186299999999999</v>
      </c>
      <c r="Z134" s="4">
        <f>Table1[[#This Row],[totalTimeKept]]*$AD$3</f>
        <v>212794.5</v>
      </c>
      <c r="AA134" s="4">
        <f>Y134-Z134</f>
        <v>-212780.3137</v>
      </c>
    </row>
    <row r="135" spans="1:27" x14ac:dyDescent="0.3">
      <c r="A135" s="1">
        <v>8547720</v>
      </c>
      <c r="B135" s="1" t="s">
        <v>290</v>
      </c>
      <c r="C135" s="1" t="s">
        <v>291</v>
      </c>
      <c r="D135" s="1">
        <v>4009764</v>
      </c>
      <c r="E135" s="1">
        <v>0</v>
      </c>
      <c r="F135" s="1" t="s">
        <v>292</v>
      </c>
      <c r="G135" s="1" t="s">
        <v>24</v>
      </c>
      <c r="H135" s="2">
        <v>39857</v>
      </c>
      <c r="I135" s="2">
        <v>40605</v>
      </c>
      <c r="J135" s="2">
        <v>41950</v>
      </c>
      <c r="K135" s="3">
        <v>105000</v>
      </c>
      <c r="L135" s="3">
        <v>200000</v>
      </c>
      <c r="M135" s="3">
        <v>95000</v>
      </c>
      <c r="N135" s="1">
        <v>0</v>
      </c>
      <c r="O135" s="1">
        <v>1</v>
      </c>
      <c r="P135" s="1">
        <v>1</v>
      </c>
      <c r="Q135" s="3"/>
      <c r="R135" s="3"/>
      <c r="S135" s="3">
        <v>95000</v>
      </c>
      <c r="T135" s="1">
        <v>3.6849319999999999</v>
      </c>
      <c r="U135" s="3"/>
      <c r="V135" s="3"/>
      <c r="X135" s="1">
        <v>95000</v>
      </c>
      <c r="Y135" s="22">
        <v>3.6849319999999999</v>
      </c>
      <c r="Z135" s="4">
        <f>Table1[[#This Row],[totalTimeKept]]*$AD$3</f>
        <v>55273.979999999996</v>
      </c>
      <c r="AA135" s="4">
        <f>Y135-Z135</f>
        <v>-55270.295067999999</v>
      </c>
    </row>
    <row r="136" spans="1:27" x14ac:dyDescent="0.3">
      <c r="A136" s="1">
        <v>8548991</v>
      </c>
      <c r="B136" s="1" t="s">
        <v>293</v>
      </c>
      <c r="C136" s="1" t="s">
        <v>294</v>
      </c>
      <c r="D136" s="1">
        <v>7137240</v>
      </c>
      <c r="E136" s="1">
        <v>0</v>
      </c>
      <c r="F136" s="1" t="s">
        <v>139</v>
      </c>
      <c r="G136" s="1" t="s">
        <v>25</v>
      </c>
      <c r="H136" s="2">
        <v>39838</v>
      </c>
      <c r="I136" s="2">
        <v>41589</v>
      </c>
      <c r="J136" s="2" t="s">
        <v>25</v>
      </c>
      <c r="K136" s="3">
        <v>25000</v>
      </c>
      <c r="L136" s="3"/>
      <c r="M136" s="3">
        <v>-25000</v>
      </c>
      <c r="N136" s="1">
        <v>0</v>
      </c>
      <c r="O136" s="1">
        <v>1</v>
      </c>
      <c r="P136" s="1">
        <v>0</v>
      </c>
      <c r="Q136" s="3">
        <v>45000</v>
      </c>
      <c r="R136" s="3"/>
      <c r="S136" s="3">
        <v>-70000</v>
      </c>
      <c r="T136" s="1">
        <v>11.27671</v>
      </c>
      <c r="U136" s="3">
        <v>15000</v>
      </c>
      <c r="V136" s="3">
        <v>0</v>
      </c>
      <c r="W136" s="1">
        <v>1.564384</v>
      </c>
      <c r="X136" s="1">
        <v>-55000</v>
      </c>
      <c r="Y136" s="22">
        <v>12.841100000000001</v>
      </c>
      <c r="Z136" s="4">
        <f>Table1[[#This Row],[totalTimeKept]]*$AD$3</f>
        <v>192616.5</v>
      </c>
      <c r="AA136" s="4">
        <f>Y136-Z136</f>
        <v>-192603.65890000001</v>
      </c>
    </row>
    <row r="137" spans="1:27" x14ac:dyDescent="0.3">
      <c r="A137" s="1">
        <v>8571544</v>
      </c>
      <c r="B137" s="1" t="s">
        <v>295</v>
      </c>
      <c r="C137" s="1" t="s">
        <v>296</v>
      </c>
      <c r="D137" s="1">
        <v>4646615</v>
      </c>
      <c r="E137" s="1">
        <v>0</v>
      </c>
      <c r="F137" s="1" t="s">
        <v>139</v>
      </c>
      <c r="G137" s="1" t="s">
        <v>24</v>
      </c>
      <c r="H137" s="2">
        <v>39889</v>
      </c>
      <c r="I137" s="2">
        <v>41586</v>
      </c>
      <c r="J137" s="2">
        <v>42312</v>
      </c>
      <c r="K137" s="3">
        <v>70000</v>
      </c>
      <c r="L137" s="3">
        <v>75000</v>
      </c>
      <c r="M137" s="3">
        <v>5000</v>
      </c>
      <c r="N137" s="1">
        <v>0</v>
      </c>
      <c r="O137" s="1">
        <v>1</v>
      </c>
      <c r="P137" s="1">
        <v>1</v>
      </c>
      <c r="Q137" s="3">
        <v>15000</v>
      </c>
      <c r="R137" s="3"/>
      <c r="S137" s="3">
        <v>-10000</v>
      </c>
      <c r="T137" s="1">
        <v>1.9890410000000001</v>
      </c>
      <c r="U137" s="3">
        <v>2000</v>
      </c>
      <c r="V137" s="3">
        <v>0</v>
      </c>
      <c r="W137" s="1">
        <v>0.91232880000000005</v>
      </c>
      <c r="X137" s="1">
        <v>-8000</v>
      </c>
      <c r="Y137" s="22">
        <v>2.90137</v>
      </c>
      <c r="Z137" s="4">
        <f>Table1[[#This Row],[totalTimeKept]]*$AD$3</f>
        <v>43520.55</v>
      </c>
      <c r="AA137" s="4">
        <f>Y137-Z137</f>
        <v>-43517.648630000003</v>
      </c>
    </row>
    <row r="138" spans="1:27" x14ac:dyDescent="0.3">
      <c r="A138" s="1">
        <v>8577081</v>
      </c>
      <c r="B138" s="1" t="s">
        <v>297</v>
      </c>
      <c r="C138" s="1" t="s">
        <v>298</v>
      </c>
      <c r="D138" s="1">
        <v>4502368</v>
      </c>
      <c r="E138" s="1">
        <v>0</v>
      </c>
      <c r="F138" s="1" t="s">
        <v>139</v>
      </c>
      <c r="G138" s="1" t="s">
        <v>24</v>
      </c>
      <c r="H138" s="2">
        <v>39897</v>
      </c>
      <c r="I138" s="2">
        <v>42311</v>
      </c>
      <c r="J138" s="2">
        <v>43614</v>
      </c>
      <c r="K138" s="3">
        <v>160000</v>
      </c>
      <c r="L138" s="3">
        <v>138460</v>
      </c>
      <c r="M138" s="3">
        <v>-21540</v>
      </c>
      <c r="N138" s="1">
        <v>0</v>
      </c>
      <c r="O138" s="1">
        <v>1</v>
      </c>
      <c r="P138" s="1">
        <v>1</v>
      </c>
      <c r="Q138" s="3">
        <v>115000</v>
      </c>
      <c r="R138" s="3"/>
      <c r="S138" s="3">
        <v>-136540</v>
      </c>
      <c r="T138" s="1">
        <v>3.5698629999999998</v>
      </c>
      <c r="U138" s="3">
        <v>235000</v>
      </c>
      <c r="V138" s="3">
        <v>0</v>
      </c>
      <c r="W138" s="1">
        <v>2.3753419999999998</v>
      </c>
      <c r="X138" s="1">
        <v>98460</v>
      </c>
      <c r="Y138" s="22">
        <v>5.9452059999999998</v>
      </c>
      <c r="Z138" s="4">
        <f>Table1[[#This Row],[totalTimeKept]]*$AD$3</f>
        <v>89178.09</v>
      </c>
      <c r="AA138" s="4">
        <f>Y138-Z138</f>
        <v>-89172.144793999993</v>
      </c>
    </row>
    <row r="139" spans="1:27" x14ac:dyDescent="0.3">
      <c r="A139" s="1">
        <v>8580767</v>
      </c>
      <c r="B139" s="1" t="s">
        <v>299</v>
      </c>
      <c r="C139" s="1" t="s">
        <v>300</v>
      </c>
      <c r="D139" s="1">
        <v>1218221</v>
      </c>
      <c r="E139" s="1">
        <v>31550</v>
      </c>
      <c r="F139" s="1" t="s">
        <v>292</v>
      </c>
      <c r="G139" s="1" t="s">
        <v>25</v>
      </c>
      <c r="H139" s="2">
        <v>39886</v>
      </c>
      <c r="I139" s="2">
        <v>40618</v>
      </c>
      <c r="J139" s="2" t="s">
        <v>25</v>
      </c>
      <c r="K139" s="3">
        <v>140000</v>
      </c>
      <c r="L139" s="3"/>
      <c r="M139" s="3">
        <v>-140000</v>
      </c>
      <c r="N139" s="1">
        <v>0</v>
      </c>
      <c r="O139" s="1">
        <v>1</v>
      </c>
      <c r="P139" s="1">
        <v>0</v>
      </c>
      <c r="Q139" s="3"/>
      <c r="R139" s="3"/>
      <c r="S139" s="3">
        <v>-108450</v>
      </c>
      <c r="T139" s="1">
        <v>13.93699</v>
      </c>
      <c r="U139" s="3"/>
      <c r="V139" s="3"/>
      <c r="X139" s="1">
        <v>-108450</v>
      </c>
      <c r="Y139" s="22">
        <v>13.93699</v>
      </c>
      <c r="Z139" s="4">
        <f>Table1[[#This Row],[totalTimeKept]]*$AD$3</f>
        <v>209054.85</v>
      </c>
      <c r="AA139" s="4">
        <f>Y139-Z139</f>
        <v>-209040.91301000002</v>
      </c>
    </row>
    <row r="140" spans="1:27" x14ac:dyDescent="0.3">
      <c r="A140" s="1">
        <v>8581723</v>
      </c>
      <c r="B140" s="1" t="s">
        <v>301</v>
      </c>
      <c r="C140" s="1" t="s">
        <v>302</v>
      </c>
      <c r="D140" s="1">
        <v>4471065</v>
      </c>
      <c r="E140" s="1">
        <v>0</v>
      </c>
      <c r="F140" s="1" t="s">
        <v>24</v>
      </c>
      <c r="G140" s="1" t="s">
        <v>24</v>
      </c>
      <c r="H140" s="2">
        <v>39886</v>
      </c>
      <c r="I140" s="2">
        <v>41950</v>
      </c>
      <c r="J140" s="2">
        <v>42313</v>
      </c>
      <c r="K140" s="3">
        <v>190000</v>
      </c>
      <c r="L140" s="3">
        <v>155000</v>
      </c>
      <c r="M140" s="3">
        <v>-35000</v>
      </c>
      <c r="N140" s="1">
        <v>0</v>
      </c>
      <c r="O140" s="1">
        <v>1</v>
      </c>
      <c r="P140" s="1">
        <v>1</v>
      </c>
      <c r="Q140" s="3">
        <v>0</v>
      </c>
      <c r="R140" s="3"/>
      <c r="S140" s="3">
        <v>-35000</v>
      </c>
      <c r="T140" s="1">
        <v>0.99452050000000003</v>
      </c>
      <c r="U140" s="3">
        <v>150000</v>
      </c>
      <c r="V140" s="3">
        <v>0</v>
      </c>
      <c r="W140" s="1">
        <v>1.578082</v>
      </c>
      <c r="X140" s="1">
        <v>115000</v>
      </c>
      <c r="Y140" s="22">
        <v>2.572603</v>
      </c>
      <c r="Z140" s="4">
        <f>Table1[[#This Row],[totalTimeKept]]*$AD$3</f>
        <v>38589.044999999998</v>
      </c>
      <c r="AA140" s="4">
        <f>Y140-Z140</f>
        <v>-38586.472396999998</v>
      </c>
    </row>
    <row r="141" spans="1:27" x14ac:dyDescent="0.3">
      <c r="A141" s="1">
        <v>8584001</v>
      </c>
      <c r="B141" s="1" t="s">
        <v>303</v>
      </c>
      <c r="C141" s="1" t="s">
        <v>304</v>
      </c>
      <c r="D141" s="1">
        <v>7198012</v>
      </c>
      <c r="E141" s="1">
        <v>0</v>
      </c>
      <c r="F141" s="1" t="s">
        <v>25</v>
      </c>
      <c r="G141" s="1" t="s">
        <v>46</v>
      </c>
      <c r="H141" s="2">
        <v>39867</v>
      </c>
      <c r="I141" s="2" t="s">
        <v>25</v>
      </c>
      <c r="J141" s="2">
        <v>40461</v>
      </c>
      <c r="K141" s="3"/>
      <c r="L141" s="3">
        <v>59724</v>
      </c>
      <c r="M141" s="3">
        <v>59724</v>
      </c>
      <c r="N141" s="1">
        <v>1</v>
      </c>
      <c r="O141" s="1">
        <v>0</v>
      </c>
      <c r="P141" s="1">
        <v>1</v>
      </c>
      <c r="Q141" s="3"/>
      <c r="R141" s="3"/>
      <c r="S141" s="3">
        <v>59724</v>
      </c>
      <c r="T141" s="1">
        <v>1.627397</v>
      </c>
      <c r="U141" s="3"/>
      <c r="V141" s="3"/>
      <c r="X141" s="1">
        <v>59724</v>
      </c>
      <c r="Y141" s="22">
        <v>1.627397</v>
      </c>
      <c r="Z141" s="4">
        <f>Table1[[#This Row],[totalTimeKept]]*$AD$3</f>
        <v>24410.954999999998</v>
      </c>
      <c r="AA141" s="4">
        <f>Y141-Z141</f>
        <v>-24409.327602999998</v>
      </c>
    </row>
    <row r="142" spans="1:27" x14ac:dyDescent="0.3">
      <c r="A142" s="1">
        <v>8588560</v>
      </c>
      <c r="B142" s="1" t="s">
        <v>305</v>
      </c>
      <c r="C142" s="1" t="s">
        <v>306</v>
      </c>
      <c r="D142" s="1">
        <v>4630432</v>
      </c>
      <c r="E142" s="1">
        <v>0</v>
      </c>
      <c r="F142" s="1" t="s">
        <v>139</v>
      </c>
      <c r="G142" s="1" t="s">
        <v>24</v>
      </c>
      <c r="H142" s="2">
        <v>39915</v>
      </c>
      <c r="I142" s="2">
        <v>42562</v>
      </c>
      <c r="J142" s="2">
        <v>43615</v>
      </c>
      <c r="K142" s="3">
        <v>575000</v>
      </c>
      <c r="L142" s="3">
        <v>536068</v>
      </c>
      <c r="M142" s="3">
        <v>-38932</v>
      </c>
      <c r="N142" s="1">
        <v>0</v>
      </c>
      <c r="O142" s="1">
        <v>1</v>
      </c>
      <c r="P142" s="1">
        <v>1</v>
      </c>
      <c r="Q142" s="3">
        <v>143626.6</v>
      </c>
      <c r="R142" s="3"/>
      <c r="S142" s="3">
        <v>-182558.6</v>
      </c>
      <c r="T142" s="1">
        <v>2.8849320000000001</v>
      </c>
      <c r="U142" s="3"/>
      <c r="V142" s="3"/>
      <c r="X142" s="1">
        <v>-182558.6</v>
      </c>
      <c r="Y142" s="22">
        <v>2.8849320000000001</v>
      </c>
      <c r="Z142" s="4">
        <f>Table1[[#This Row],[totalTimeKept]]*$AD$3</f>
        <v>43273.98</v>
      </c>
      <c r="AA142" s="4">
        <f>Y142-Z142</f>
        <v>-43271.095068000002</v>
      </c>
    </row>
    <row r="143" spans="1:27" x14ac:dyDescent="0.3">
      <c r="A143" s="1">
        <v>8591511</v>
      </c>
      <c r="B143" s="1" t="s">
        <v>307</v>
      </c>
      <c r="C143" s="1" t="s">
        <v>308</v>
      </c>
      <c r="D143" s="1">
        <v>4745605</v>
      </c>
      <c r="E143" s="1">
        <v>0</v>
      </c>
      <c r="F143" s="1" t="s">
        <v>139</v>
      </c>
      <c r="G143" s="1" t="s">
        <v>24</v>
      </c>
      <c r="H143" s="2">
        <v>39918</v>
      </c>
      <c r="I143" s="2">
        <v>41588</v>
      </c>
      <c r="J143" s="2">
        <v>42303</v>
      </c>
      <c r="K143" s="3">
        <v>60000</v>
      </c>
      <c r="L143" s="3">
        <v>50000</v>
      </c>
      <c r="M143" s="3">
        <v>-10000</v>
      </c>
      <c r="N143" s="1">
        <v>0</v>
      </c>
      <c r="O143" s="1">
        <v>1</v>
      </c>
      <c r="P143" s="1">
        <v>1</v>
      </c>
      <c r="Q143" s="3">
        <v>15000</v>
      </c>
      <c r="R143" s="3"/>
      <c r="S143" s="3">
        <v>-25000</v>
      </c>
      <c r="T143" s="1">
        <v>1.958904</v>
      </c>
      <c r="U143" s="3"/>
      <c r="V143" s="3"/>
      <c r="X143" s="1">
        <v>-25000</v>
      </c>
      <c r="Y143" s="22">
        <v>1.958904</v>
      </c>
      <c r="Z143" s="4">
        <f>Table1[[#This Row],[totalTimeKept]]*$AD$3</f>
        <v>29383.56</v>
      </c>
      <c r="AA143" s="4">
        <f>Y143-Z143</f>
        <v>-29381.601096000002</v>
      </c>
    </row>
    <row r="144" spans="1:27" x14ac:dyDescent="0.3">
      <c r="A144" s="1">
        <v>8592303</v>
      </c>
      <c r="B144" s="1" t="s">
        <v>309</v>
      </c>
      <c r="C144" s="1" t="s">
        <v>310</v>
      </c>
      <c r="D144" s="1">
        <v>2524350</v>
      </c>
      <c r="E144" s="1">
        <v>0</v>
      </c>
      <c r="F144" s="1" t="s">
        <v>24</v>
      </c>
      <c r="G144" s="1" t="s">
        <v>24</v>
      </c>
      <c r="H144" s="2">
        <v>39918</v>
      </c>
      <c r="I144" s="2">
        <v>43844</v>
      </c>
      <c r="J144" s="2">
        <v>44147</v>
      </c>
      <c r="K144" s="3">
        <v>140000</v>
      </c>
      <c r="L144" s="3">
        <v>30000</v>
      </c>
      <c r="M144" s="3">
        <v>-110000</v>
      </c>
      <c r="N144" s="1">
        <v>0</v>
      </c>
      <c r="O144" s="1">
        <v>1</v>
      </c>
      <c r="P144" s="1">
        <v>1</v>
      </c>
      <c r="Q144" s="3"/>
      <c r="R144" s="3"/>
      <c r="S144" s="3">
        <v>-110000</v>
      </c>
      <c r="T144" s="1">
        <v>0.83013700000000001</v>
      </c>
      <c r="U144" s="3">
        <v>175000</v>
      </c>
      <c r="V144" s="3">
        <v>0</v>
      </c>
      <c r="W144" s="1">
        <v>0.60273980000000005</v>
      </c>
      <c r="X144" s="1">
        <v>65000</v>
      </c>
      <c r="Y144" s="22">
        <v>1.432877</v>
      </c>
      <c r="Z144" s="4">
        <f>Table1[[#This Row],[totalTimeKept]]*$AD$3</f>
        <v>21493.154999999999</v>
      </c>
      <c r="AA144" s="4">
        <f>Y144-Z144</f>
        <v>-21491.722123</v>
      </c>
    </row>
    <row r="145" spans="1:27" x14ac:dyDescent="0.3">
      <c r="A145" s="1">
        <v>8594139</v>
      </c>
      <c r="B145" s="1" t="s">
        <v>311</v>
      </c>
      <c r="C145" s="1" t="s">
        <v>312</v>
      </c>
      <c r="D145" s="1">
        <v>1311874</v>
      </c>
      <c r="E145" s="1">
        <v>0</v>
      </c>
      <c r="F145" s="1" t="s">
        <v>24</v>
      </c>
      <c r="G145" s="1" t="s">
        <v>25</v>
      </c>
      <c r="H145" s="2">
        <v>39897</v>
      </c>
      <c r="I145" s="2">
        <v>43048</v>
      </c>
      <c r="J145" s="2" t="s">
        <v>25</v>
      </c>
      <c r="K145" s="3">
        <v>110000</v>
      </c>
      <c r="L145" s="3"/>
      <c r="M145" s="3">
        <v>-110000</v>
      </c>
      <c r="N145" s="1">
        <v>0</v>
      </c>
      <c r="O145" s="1">
        <v>1</v>
      </c>
      <c r="P145" s="1">
        <v>0</v>
      </c>
      <c r="Q145" s="3">
        <v>230259.3</v>
      </c>
      <c r="R145" s="3"/>
      <c r="S145" s="3">
        <v>-340259.3</v>
      </c>
      <c r="T145" s="1">
        <v>7.279452</v>
      </c>
      <c r="U145" s="3"/>
      <c r="V145" s="3"/>
      <c r="X145" s="1">
        <v>-340259.3</v>
      </c>
      <c r="Y145" s="22">
        <v>7.279452</v>
      </c>
      <c r="Z145" s="4">
        <f>Table1[[#This Row],[totalTimeKept]]*$AD$3</f>
        <v>109191.78</v>
      </c>
      <c r="AA145" s="4">
        <f>Y145-Z145</f>
        <v>-109184.500548</v>
      </c>
    </row>
    <row r="146" spans="1:27" x14ac:dyDescent="0.3">
      <c r="A146" s="1">
        <v>8594974</v>
      </c>
      <c r="B146" s="1" t="s">
        <v>313</v>
      </c>
      <c r="C146" s="1" t="s">
        <v>314</v>
      </c>
      <c r="D146" s="1">
        <v>6109280</v>
      </c>
      <c r="E146" s="1">
        <v>0</v>
      </c>
      <c r="F146" s="1" t="s">
        <v>24</v>
      </c>
      <c r="G146" s="1" t="s">
        <v>24</v>
      </c>
      <c r="H146" s="2">
        <v>39925</v>
      </c>
      <c r="I146" s="2">
        <v>41648</v>
      </c>
      <c r="J146" s="2">
        <v>44720</v>
      </c>
      <c r="K146" s="3">
        <v>70000</v>
      </c>
      <c r="L146" s="3">
        <v>4339</v>
      </c>
      <c r="M146" s="3">
        <v>-65661</v>
      </c>
      <c r="N146" s="1">
        <v>0</v>
      </c>
      <c r="O146" s="1">
        <v>1</v>
      </c>
      <c r="P146" s="1">
        <v>1</v>
      </c>
      <c r="Q146" s="3">
        <v>165000</v>
      </c>
      <c r="R146" s="3"/>
      <c r="S146" s="3">
        <v>-230661</v>
      </c>
      <c r="T146" s="1">
        <v>8.4164379999999994</v>
      </c>
      <c r="U146" s="3"/>
      <c r="V146" s="3"/>
      <c r="X146" s="1">
        <v>-230661</v>
      </c>
      <c r="Y146" s="22">
        <v>8.4164379999999994</v>
      </c>
      <c r="Z146" s="4">
        <f>Table1[[#This Row],[totalTimeKept]]*$AD$3</f>
        <v>126246.56999999999</v>
      </c>
      <c r="AA146" s="4">
        <f>Y146-Z146</f>
        <v>-126238.15356199999</v>
      </c>
    </row>
    <row r="147" spans="1:27" x14ac:dyDescent="0.3">
      <c r="A147" s="1">
        <v>8603820</v>
      </c>
      <c r="B147" s="1" t="s">
        <v>315</v>
      </c>
      <c r="C147" s="1" t="s">
        <v>108</v>
      </c>
      <c r="D147" s="1">
        <v>1240997</v>
      </c>
      <c r="E147" s="1">
        <v>0</v>
      </c>
      <c r="F147" s="1" t="s">
        <v>24</v>
      </c>
      <c r="G147" s="1" t="s">
        <v>24</v>
      </c>
      <c r="H147" s="2">
        <v>39937</v>
      </c>
      <c r="I147" s="2">
        <v>43050</v>
      </c>
      <c r="J147" s="2">
        <v>43418</v>
      </c>
      <c r="K147" s="3">
        <v>105000</v>
      </c>
      <c r="L147" s="3">
        <v>7000</v>
      </c>
      <c r="M147" s="3">
        <v>-98000</v>
      </c>
      <c r="N147" s="1">
        <v>0</v>
      </c>
      <c r="O147" s="1">
        <v>1</v>
      </c>
      <c r="P147" s="1">
        <v>1</v>
      </c>
      <c r="Q147" s="3">
        <v>0</v>
      </c>
      <c r="R147" s="3"/>
      <c r="S147" s="3">
        <v>-98000</v>
      </c>
      <c r="T147" s="1">
        <v>1.008219</v>
      </c>
      <c r="U147" s="3">
        <v>13000</v>
      </c>
      <c r="V147" s="3">
        <v>0</v>
      </c>
      <c r="W147" s="1">
        <v>0.50684929999999995</v>
      </c>
      <c r="X147" s="1">
        <v>-85000</v>
      </c>
      <c r="Y147" s="22">
        <v>1.5150680000000001</v>
      </c>
      <c r="Z147" s="4">
        <f>Table1[[#This Row],[totalTimeKept]]*$AD$3</f>
        <v>22726.02</v>
      </c>
      <c r="AA147" s="4">
        <f>Y147-Z147</f>
        <v>-22724.504932</v>
      </c>
    </row>
    <row r="148" spans="1:27" x14ac:dyDescent="0.3">
      <c r="A148" s="1">
        <v>8603882</v>
      </c>
      <c r="B148" s="1" t="s">
        <v>316</v>
      </c>
      <c r="C148" s="1" t="s">
        <v>317</v>
      </c>
      <c r="D148" s="1">
        <v>4344464</v>
      </c>
      <c r="E148" s="1">
        <v>0</v>
      </c>
      <c r="F148" s="1" t="s">
        <v>24</v>
      </c>
      <c r="G148" s="1" t="s">
        <v>24</v>
      </c>
      <c r="H148" s="2">
        <v>39935</v>
      </c>
      <c r="I148" s="2">
        <v>42683</v>
      </c>
      <c r="J148" s="2">
        <v>44145</v>
      </c>
      <c r="K148" s="3">
        <v>600000</v>
      </c>
      <c r="L148" s="3">
        <v>35000</v>
      </c>
      <c r="M148" s="3">
        <v>-565000</v>
      </c>
      <c r="N148" s="1">
        <v>0</v>
      </c>
      <c r="O148" s="1">
        <v>1</v>
      </c>
      <c r="P148" s="1">
        <v>1</v>
      </c>
      <c r="Q148" s="3">
        <v>162925.9</v>
      </c>
      <c r="R148" s="3"/>
      <c r="S148" s="3">
        <v>-727925.9</v>
      </c>
      <c r="T148" s="1">
        <v>4.0054790000000002</v>
      </c>
      <c r="U148" s="3">
        <v>285000</v>
      </c>
      <c r="V148" s="3">
        <v>0</v>
      </c>
      <c r="W148" s="1">
        <v>11.66301</v>
      </c>
      <c r="X148" s="1">
        <v>-442925.9</v>
      </c>
      <c r="Y148" s="22">
        <v>15.66849</v>
      </c>
      <c r="Z148" s="4">
        <f>Table1[[#This Row],[totalTimeKept]]*$AD$3</f>
        <v>235027.35</v>
      </c>
      <c r="AA148" s="4">
        <f>Y148-Z148</f>
        <v>-235011.68150999999</v>
      </c>
    </row>
    <row r="149" spans="1:27" x14ac:dyDescent="0.3">
      <c r="A149" s="1">
        <v>8604984</v>
      </c>
      <c r="B149" s="1" t="s">
        <v>318</v>
      </c>
      <c r="C149" s="1" t="s">
        <v>319</v>
      </c>
      <c r="D149" s="1">
        <v>7174563</v>
      </c>
      <c r="E149" s="1">
        <v>0</v>
      </c>
      <c r="F149" s="1" t="s">
        <v>25</v>
      </c>
      <c r="G149" s="1" t="s">
        <v>46</v>
      </c>
      <c r="H149" s="2">
        <v>39890</v>
      </c>
      <c r="I149" s="1" t="s">
        <v>25</v>
      </c>
      <c r="J149" s="2">
        <v>40435</v>
      </c>
      <c r="K149" s="3"/>
      <c r="L149" s="3">
        <v>180000</v>
      </c>
      <c r="M149" s="3">
        <v>180000</v>
      </c>
      <c r="N149" s="1">
        <v>1</v>
      </c>
      <c r="O149" s="1">
        <v>0</v>
      </c>
      <c r="P149" s="1">
        <v>1</v>
      </c>
      <c r="Q149" s="3"/>
      <c r="R149" s="3"/>
      <c r="S149" s="3">
        <v>180000</v>
      </c>
      <c r="T149" s="1">
        <v>1.4931509999999999</v>
      </c>
      <c r="U149" s="3"/>
      <c r="V149" s="3"/>
      <c r="X149" s="1">
        <v>180000</v>
      </c>
      <c r="Y149" s="22">
        <v>1.4931509999999999</v>
      </c>
      <c r="Z149" s="4">
        <f>Table1[[#This Row],[totalTimeKept]]*$AD$3</f>
        <v>22397.264999999999</v>
      </c>
      <c r="AA149" s="4">
        <f>Y149-Z149</f>
        <v>-22395.771849000001</v>
      </c>
    </row>
    <row r="150" spans="1:27" x14ac:dyDescent="0.3">
      <c r="A150" s="1">
        <v>8605143</v>
      </c>
      <c r="B150" s="1" t="s">
        <v>320</v>
      </c>
      <c r="C150" s="1" t="s">
        <v>321</v>
      </c>
      <c r="D150" s="1">
        <v>1448179</v>
      </c>
      <c r="E150" s="1">
        <v>0</v>
      </c>
      <c r="F150" s="1" t="s">
        <v>24</v>
      </c>
      <c r="G150" s="1" t="s">
        <v>24</v>
      </c>
      <c r="H150" s="2">
        <v>39925</v>
      </c>
      <c r="I150" s="2">
        <v>41589</v>
      </c>
      <c r="J150" s="2">
        <v>41953</v>
      </c>
      <c r="K150" s="3">
        <v>70000</v>
      </c>
      <c r="L150" s="3">
        <v>9500</v>
      </c>
      <c r="M150" s="3">
        <v>-60500</v>
      </c>
      <c r="N150" s="1">
        <v>0</v>
      </c>
      <c r="O150" s="1">
        <v>1</v>
      </c>
      <c r="P150" s="1">
        <v>1</v>
      </c>
      <c r="Q150" s="3">
        <v>0</v>
      </c>
      <c r="R150" s="3"/>
      <c r="S150" s="3">
        <v>-60500</v>
      </c>
      <c r="T150" s="1">
        <v>0.99726029999999999</v>
      </c>
      <c r="U150" s="3"/>
      <c r="V150" s="3"/>
      <c r="X150" s="1">
        <v>-60500</v>
      </c>
      <c r="Y150" s="22">
        <v>0.99726029999999999</v>
      </c>
      <c r="Z150" s="4">
        <f>Table1[[#This Row],[totalTimeKept]]*$AD$3</f>
        <v>14958.904500000001</v>
      </c>
      <c r="AA150" s="4">
        <f>Y150-Z150</f>
        <v>-14957.9072397</v>
      </c>
    </row>
    <row r="151" spans="1:27" x14ac:dyDescent="0.3">
      <c r="A151" s="1">
        <v>8607410</v>
      </c>
      <c r="B151" s="1" t="s">
        <v>322</v>
      </c>
      <c r="C151" s="1" t="s">
        <v>275</v>
      </c>
      <c r="D151" s="1">
        <v>1310566</v>
      </c>
      <c r="E151" s="1">
        <v>0</v>
      </c>
      <c r="F151" s="1" t="s">
        <v>25</v>
      </c>
      <c r="G151" s="1" t="s">
        <v>25</v>
      </c>
      <c r="H151" s="2">
        <v>39932</v>
      </c>
      <c r="I151" s="1" t="s">
        <v>25</v>
      </c>
      <c r="J151" s="2" t="s">
        <v>25</v>
      </c>
      <c r="K151" s="3"/>
      <c r="L151" s="3"/>
      <c r="M151" s="3">
        <v>0</v>
      </c>
      <c r="N151" s="1">
        <v>1</v>
      </c>
      <c r="P151" s="1">
        <v>0</v>
      </c>
      <c r="Q151" s="3"/>
      <c r="R151" s="3"/>
      <c r="S151" s="3">
        <v>0</v>
      </c>
      <c r="T151" s="1">
        <v>15.81644</v>
      </c>
      <c r="U151" s="3"/>
      <c r="V151" s="3"/>
      <c r="X151" s="1">
        <v>0</v>
      </c>
      <c r="Y151" s="22">
        <v>15.81644</v>
      </c>
      <c r="Z151" s="4">
        <f>Table1[[#This Row],[totalTimeKept]]*$AD$3</f>
        <v>237246.6</v>
      </c>
      <c r="AA151" s="4">
        <f>Y151-Z151</f>
        <v>-237230.78356000001</v>
      </c>
    </row>
    <row r="152" spans="1:27" x14ac:dyDescent="0.3">
      <c r="A152" s="1">
        <v>8611600</v>
      </c>
      <c r="B152" s="1" t="s">
        <v>323</v>
      </c>
      <c r="C152" s="1" t="s">
        <v>324</v>
      </c>
      <c r="D152" s="1">
        <v>6807209</v>
      </c>
      <c r="E152" s="1">
        <v>0</v>
      </c>
      <c r="F152" s="1" t="s">
        <v>24</v>
      </c>
      <c r="G152" s="1" t="s">
        <v>24</v>
      </c>
      <c r="H152" s="2">
        <v>39948</v>
      </c>
      <c r="I152" s="2">
        <v>41587</v>
      </c>
      <c r="J152" s="2">
        <v>44209</v>
      </c>
      <c r="K152" s="3">
        <v>67000</v>
      </c>
      <c r="L152" s="3">
        <v>20000</v>
      </c>
      <c r="M152" s="3">
        <v>-47000</v>
      </c>
      <c r="N152" s="1">
        <v>0</v>
      </c>
      <c r="O152" s="1">
        <v>1</v>
      </c>
      <c r="P152" s="1">
        <v>1</v>
      </c>
      <c r="Q152" s="3">
        <v>107500</v>
      </c>
      <c r="R152" s="3"/>
      <c r="S152" s="3">
        <v>-154500</v>
      </c>
      <c r="T152" s="1">
        <v>7.1835620000000002</v>
      </c>
      <c r="U152" s="3">
        <v>125000</v>
      </c>
      <c r="V152" s="3">
        <v>0</v>
      </c>
      <c r="W152" s="1">
        <v>1.378082</v>
      </c>
      <c r="X152" s="1">
        <v>-29500</v>
      </c>
      <c r="Y152" s="22">
        <v>8.5616439999999994</v>
      </c>
      <c r="Z152" s="4">
        <f>Table1[[#This Row],[totalTimeKept]]*$AD$3</f>
        <v>128424.65999999999</v>
      </c>
      <c r="AA152" s="4">
        <f>Y152-Z152</f>
        <v>-128416.09835599999</v>
      </c>
    </row>
    <row r="153" spans="1:27" x14ac:dyDescent="0.3">
      <c r="A153" s="1">
        <v>8613638</v>
      </c>
      <c r="B153" s="1" t="s">
        <v>325</v>
      </c>
      <c r="C153" s="1" t="s">
        <v>326</v>
      </c>
      <c r="D153" s="1">
        <v>1430877</v>
      </c>
      <c r="E153" s="1">
        <v>0</v>
      </c>
      <c r="F153" s="1" t="s">
        <v>292</v>
      </c>
      <c r="G153" s="1" t="s">
        <v>25</v>
      </c>
      <c r="H153" s="2">
        <v>39951</v>
      </c>
      <c r="I153" s="2">
        <v>40644</v>
      </c>
      <c r="J153" s="2" t="s">
        <v>25</v>
      </c>
      <c r="K153" s="3">
        <v>110000</v>
      </c>
      <c r="L153" s="3"/>
      <c r="M153" s="3">
        <v>-110000</v>
      </c>
      <c r="N153" s="1">
        <v>0</v>
      </c>
      <c r="O153" s="1">
        <v>1</v>
      </c>
      <c r="P153" s="1">
        <v>0</v>
      </c>
      <c r="Q153" s="3">
        <v>640259.30000000005</v>
      </c>
      <c r="R153" s="3"/>
      <c r="S153" s="3">
        <v>-750259.3</v>
      </c>
      <c r="T153" s="1">
        <v>13.86575</v>
      </c>
      <c r="U153" s="3"/>
      <c r="V153" s="3"/>
      <c r="X153" s="1">
        <v>-750259.3</v>
      </c>
      <c r="Y153" s="22">
        <v>13.86575</v>
      </c>
      <c r="Z153" s="4">
        <f>Table1[[#This Row],[totalTimeKept]]*$AD$3</f>
        <v>207986.25</v>
      </c>
      <c r="AA153" s="4">
        <f>Y153-Z153</f>
        <v>-207972.38425</v>
      </c>
    </row>
    <row r="154" spans="1:27" x14ac:dyDescent="0.3">
      <c r="A154" s="1">
        <v>8701938</v>
      </c>
      <c r="B154" s="1" t="s">
        <v>327</v>
      </c>
      <c r="C154" s="1" t="s">
        <v>328</v>
      </c>
      <c r="D154" s="1">
        <v>4677877</v>
      </c>
      <c r="E154" s="1">
        <v>0</v>
      </c>
      <c r="F154" s="1" t="s">
        <v>139</v>
      </c>
      <c r="G154" s="1" t="s">
        <v>24</v>
      </c>
      <c r="H154" s="2">
        <v>39872</v>
      </c>
      <c r="I154" s="2">
        <v>41582</v>
      </c>
      <c r="J154" s="2">
        <v>42312</v>
      </c>
      <c r="K154" s="3">
        <v>150000</v>
      </c>
      <c r="L154" s="3">
        <v>180000</v>
      </c>
      <c r="M154" s="3">
        <v>30000</v>
      </c>
      <c r="N154" s="1">
        <v>0</v>
      </c>
      <c r="O154" s="1">
        <v>1</v>
      </c>
      <c r="P154" s="1">
        <v>1</v>
      </c>
      <c r="Q154" s="3">
        <v>20000</v>
      </c>
      <c r="R154" s="3"/>
      <c r="S154" s="3">
        <v>10000</v>
      </c>
      <c r="T154" s="1">
        <v>2</v>
      </c>
      <c r="U154" s="3"/>
      <c r="V154" s="3"/>
      <c r="X154" s="1">
        <v>10000</v>
      </c>
      <c r="Y154" s="22">
        <v>2</v>
      </c>
      <c r="Z154" s="4">
        <f>Table1[[#This Row],[totalTimeKept]]*$AD$3</f>
        <v>30000</v>
      </c>
      <c r="AA154" s="4">
        <f>Y154-Z154</f>
        <v>-29998</v>
      </c>
    </row>
    <row r="155" spans="1:27" x14ac:dyDescent="0.3">
      <c r="A155" s="1">
        <v>8733032</v>
      </c>
      <c r="B155" s="1" t="s">
        <v>329</v>
      </c>
      <c r="C155" s="1" t="s">
        <v>330</v>
      </c>
      <c r="D155" s="1">
        <v>4031549</v>
      </c>
      <c r="E155" s="1">
        <v>0</v>
      </c>
      <c r="F155" s="1" t="s">
        <v>25</v>
      </c>
      <c r="G155" s="1" t="s">
        <v>24</v>
      </c>
      <c r="H155" s="2">
        <v>39872</v>
      </c>
      <c r="I155" s="1" t="s">
        <v>25</v>
      </c>
      <c r="J155" s="2">
        <v>41975</v>
      </c>
      <c r="K155" s="3"/>
      <c r="L155" s="3">
        <v>1486391</v>
      </c>
      <c r="M155" s="3">
        <v>1486391</v>
      </c>
      <c r="N155" s="1">
        <v>1</v>
      </c>
      <c r="O155" s="1">
        <v>0</v>
      </c>
      <c r="P155" s="1">
        <v>1</v>
      </c>
      <c r="Q155" s="3">
        <v>60000</v>
      </c>
      <c r="R155" s="3"/>
      <c r="S155" s="3">
        <v>1426391</v>
      </c>
      <c r="T155" s="1">
        <v>5.7616440000000004</v>
      </c>
      <c r="U155" s="3"/>
      <c r="V155" s="3"/>
      <c r="X155" s="1">
        <v>1426391</v>
      </c>
      <c r="Y155" s="22">
        <v>5.7616440000000004</v>
      </c>
      <c r="Z155" s="4">
        <f>Table1[[#This Row],[totalTimeKept]]*$AD$3</f>
        <v>86424.66</v>
      </c>
      <c r="AA155" s="4">
        <f>Y155-Z155</f>
        <v>-86418.898356000005</v>
      </c>
    </row>
    <row r="156" spans="1:27" x14ac:dyDescent="0.3">
      <c r="A156" s="1">
        <v>8813518</v>
      </c>
      <c r="B156" s="1" t="s">
        <v>331</v>
      </c>
      <c r="C156" s="1" t="s">
        <v>332</v>
      </c>
      <c r="E156" s="1">
        <v>0</v>
      </c>
      <c r="F156" s="1" t="s">
        <v>46</v>
      </c>
      <c r="G156" s="1" t="s">
        <v>24</v>
      </c>
      <c r="H156" s="2">
        <v>40198</v>
      </c>
      <c r="I156" s="2">
        <v>40581</v>
      </c>
      <c r="J156" s="2">
        <v>42773</v>
      </c>
      <c r="K156" s="3">
        <v>245000</v>
      </c>
      <c r="L156" s="3">
        <v>60000</v>
      </c>
      <c r="M156" s="3">
        <v>-185000</v>
      </c>
      <c r="N156" s="1">
        <v>0</v>
      </c>
      <c r="O156" s="1">
        <v>1</v>
      </c>
      <c r="P156" s="1">
        <v>1</v>
      </c>
      <c r="Q156" s="3">
        <v>92500</v>
      </c>
      <c r="R156" s="3"/>
      <c r="S156" s="3">
        <v>-277500</v>
      </c>
      <c r="T156" s="1">
        <v>6.0054790000000002</v>
      </c>
      <c r="U156" s="3">
        <v>100000</v>
      </c>
      <c r="V156" s="3">
        <v>0</v>
      </c>
      <c r="W156" s="1">
        <v>2.238356</v>
      </c>
      <c r="X156" s="1">
        <v>-177500</v>
      </c>
      <c r="Y156" s="22">
        <v>8.2438350000000007</v>
      </c>
      <c r="Z156" s="4">
        <f>Table1[[#This Row],[totalTimeKept]]*$AD$3</f>
        <v>123657.52500000001</v>
      </c>
      <c r="AA156" s="4">
        <f>Y156-Z156</f>
        <v>-123649.28116500001</v>
      </c>
    </row>
    <row r="157" spans="1:27" x14ac:dyDescent="0.3">
      <c r="A157" s="1">
        <v>8825989</v>
      </c>
      <c r="B157" s="1" t="s">
        <v>333</v>
      </c>
      <c r="C157" s="1" t="s">
        <v>334</v>
      </c>
      <c r="D157" s="1">
        <v>7411150</v>
      </c>
      <c r="E157" s="1">
        <v>0</v>
      </c>
      <c r="F157" s="1" t="s">
        <v>25</v>
      </c>
      <c r="G157" s="1" t="s">
        <v>46</v>
      </c>
      <c r="H157" s="2">
        <v>40210</v>
      </c>
      <c r="I157" s="1" t="s">
        <v>25</v>
      </c>
      <c r="J157" s="2">
        <v>40736</v>
      </c>
      <c r="K157" s="3"/>
      <c r="L157" s="3">
        <v>220000</v>
      </c>
      <c r="M157" s="3">
        <v>220000</v>
      </c>
      <c r="N157" s="1">
        <v>1</v>
      </c>
      <c r="O157" s="1">
        <v>0</v>
      </c>
      <c r="P157" s="1">
        <v>1</v>
      </c>
      <c r="Q157" s="3"/>
      <c r="R157" s="3"/>
      <c r="S157" s="3">
        <v>220000</v>
      </c>
      <c r="T157" s="1">
        <v>1.4410959999999999</v>
      </c>
      <c r="U157" s="3"/>
      <c r="V157" s="3"/>
      <c r="X157" s="1">
        <v>220000</v>
      </c>
      <c r="Y157" s="22">
        <v>1.4410959999999999</v>
      </c>
      <c r="Z157" s="4">
        <f>Table1[[#This Row],[totalTimeKept]]*$AD$3</f>
        <v>21616.44</v>
      </c>
      <c r="AA157" s="4">
        <f>Y157-Z157</f>
        <v>-21614.998904</v>
      </c>
    </row>
    <row r="158" spans="1:27" x14ac:dyDescent="0.3">
      <c r="A158" s="1">
        <v>8825991</v>
      </c>
      <c r="B158" s="1" t="s">
        <v>335</v>
      </c>
      <c r="C158" s="1" t="s">
        <v>336</v>
      </c>
      <c r="D158" s="1">
        <v>6674784</v>
      </c>
      <c r="E158" s="1">
        <v>0</v>
      </c>
      <c r="F158" s="1" t="s">
        <v>25</v>
      </c>
      <c r="G158" s="1" t="s">
        <v>46</v>
      </c>
      <c r="H158" s="2">
        <v>40213</v>
      </c>
      <c r="I158" s="1" t="s">
        <v>25</v>
      </c>
      <c r="J158" s="2">
        <v>40801</v>
      </c>
      <c r="K158" s="3"/>
      <c r="L158" s="3">
        <v>20000</v>
      </c>
      <c r="M158" s="3">
        <v>20000</v>
      </c>
      <c r="N158" s="1">
        <v>1</v>
      </c>
      <c r="O158" s="1">
        <v>0</v>
      </c>
      <c r="P158" s="1">
        <v>1</v>
      </c>
      <c r="Q158" s="3"/>
      <c r="R158" s="3"/>
      <c r="S158" s="3">
        <v>20000</v>
      </c>
      <c r="T158" s="1">
        <v>1.610959</v>
      </c>
      <c r="U158" s="3"/>
      <c r="V158" s="3"/>
      <c r="X158" s="1">
        <v>20000</v>
      </c>
      <c r="Y158" s="22">
        <v>1.610959</v>
      </c>
      <c r="Z158" s="4">
        <f>Table1[[#This Row],[totalTimeKept]]*$AD$3</f>
        <v>24164.385000000002</v>
      </c>
      <c r="AA158" s="4">
        <f>Y158-Z158</f>
        <v>-24162.774041000001</v>
      </c>
    </row>
    <row r="159" spans="1:27" x14ac:dyDescent="0.3">
      <c r="A159" s="1">
        <v>8826018</v>
      </c>
      <c r="B159" s="1" t="s">
        <v>337</v>
      </c>
      <c r="C159" s="1" t="s">
        <v>338</v>
      </c>
      <c r="D159" s="1">
        <v>2498327</v>
      </c>
      <c r="E159" s="1">
        <v>0</v>
      </c>
      <c r="F159" s="1" t="s">
        <v>139</v>
      </c>
      <c r="G159" s="1" t="s">
        <v>25</v>
      </c>
      <c r="H159" s="2">
        <v>40219</v>
      </c>
      <c r="I159" s="2">
        <v>41834</v>
      </c>
      <c r="J159" s="2" t="s">
        <v>25</v>
      </c>
      <c r="K159" s="3">
        <v>165000</v>
      </c>
      <c r="L159" s="3"/>
      <c r="M159" s="3">
        <v>-165000</v>
      </c>
      <c r="N159" s="1">
        <v>0</v>
      </c>
      <c r="O159" s="1">
        <v>1</v>
      </c>
      <c r="P159" s="1">
        <v>0</v>
      </c>
      <c r="Q159" s="3">
        <v>150000</v>
      </c>
      <c r="R159" s="3"/>
      <c r="S159" s="3">
        <v>-315000</v>
      </c>
      <c r="T159" s="1">
        <v>10.60548</v>
      </c>
      <c r="U159" s="3"/>
      <c r="V159" s="3"/>
      <c r="X159" s="1">
        <v>-315000</v>
      </c>
      <c r="Y159" s="22">
        <v>10.60548</v>
      </c>
      <c r="Z159" s="4">
        <f>Table1[[#This Row],[totalTimeKept]]*$AD$3</f>
        <v>159082.20000000001</v>
      </c>
      <c r="AA159" s="4">
        <f>Y159-Z159</f>
        <v>-159071.59452000001</v>
      </c>
    </row>
    <row r="160" spans="1:27" x14ac:dyDescent="0.3">
      <c r="A160" s="1">
        <v>8826594</v>
      </c>
      <c r="B160" s="1" t="s">
        <v>339</v>
      </c>
      <c r="C160" s="1" t="s">
        <v>340</v>
      </c>
      <c r="D160" s="1">
        <v>7527716</v>
      </c>
      <c r="E160" s="1">
        <v>0</v>
      </c>
      <c r="F160" s="1" t="s">
        <v>139</v>
      </c>
      <c r="G160" s="1" t="s">
        <v>24</v>
      </c>
      <c r="H160" s="2">
        <v>40222</v>
      </c>
      <c r="I160" s="2">
        <v>41583</v>
      </c>
      <c r="J160" s="2">
        <v>41947</v>
      </c>
      <c r="K160" s="3">
        <v>280000</v>
      </c>
      <c r="L160" s="3">
        <v>1100000</v>
      </c>
      <c r="M160" s="3">
        <v>820000</v>
      </c>
      <c r="N160" s="1">
        <v>0</v>
      </c>
      <c r="O160" s="1">
        <v>1</v>
      </c>
      <c r="P160" s="1">
        <v>1</v>
      </c>
      <c r="Q160" s="3"/>
      <c r="R160" s="3"/>
      <c r="S160" s="3">
        <v>820000</v>
      </c>
      <c r="T160" s="1">
        <v>0.99726029999999999</v>
      </c>
      <c r="U160" s="3"/>
      <c r="V160" s="3"/>
      <c r="X160" s="1">
        <v>820000</v>
      </c>
      <c r="Y160" s="22">
        <v>0.99726029999999999</v>
      </c>
      <c r="Z160" s="4">
        <f>Table1[[#This Row],[totalTimeKept]]*$AD$3</f>
        <v>14958.904500000001</v>
      </c>
      <c r="AA160" s="4">
        <f>Y160-Z160</f>
        <v>-14957.9072397</v>
      </c>
    </row>
    <row r="161" spans="1:27" x14ac:dyDescent="0.3">
      <c r="A161" s="1">
        <v>8826835</v>
      </c>
      <c r="B161" s="1" t="s">
        <v>341</v>
      </c>
      <c r="C161" s="1" t="s">
        <v>342</v>
      </c>
      <c r="D161" s="1">
        <v>1232794</v>
      </c>
      <c r="E161" s="1">
        <v>0</v>
      </c>
      <c r="F161" s="1" t="s">
        <v>46</v>
      </c>
      <c r="G161" s="1" t="s">
        <v>25</v>
      </c>
      <c r="H161" s="2">
        <v>40223</v>
      </c>
      <c r="I161" s="2">
        <v>40798</v>
      </c>
      <c r="J161" s="2" t="s">
        <v>25</v>
      </c>
      <c r="K161" s="3">
        <v>200000</v>
      </c>
      <c r="L161" s="3"/>
      <c r="M161" s="3">
        <v>-200000</v>
      </c>
      <c r="N161" s="1">
        <v>0</v>
      </c>
      <c r="O161" s="1">
        <v>1</v>
      </c>
      <c r="P161" s="1">
        <v>0</v>
      </c>
      <c r="Q161" s="3"/>
      <c r="R161" s="3"/>
      <c r="S161" s="3">
        <v>-200000</v>
      </c>
      <c r="T161" s="1">
        <v>13.44384</v>
      </c>
      <c r="U161" s="3"/>
      <c r="V161" s="3"/>
      <c r="X161" s="1">
        <v>-200000</v>
      </c>
      <c r="Y161" s="22">
        <v>13.44384</v>
      </c>
      <c r="Z161" s="4">
        <f>Table1[[#This Row],[totalTimeKept]]*$AD$3</f>
        <v>201657.60000000001</v>
      </c>
      <c r="AA161" s="4">
        <f>Y161-Z161</f>
        <v>-201644.15616000001</v>
      </c>
    </row>
    <row r="162" spans="1:27" x14ac:dyDescent="0.3">
      <c r="A162" s="1">
        <v>8828942</v>
      </c>
      <c r="B162" s="1" t="s">
        <v>343</v>
      </c>
      <c r="C162" s="1" t="s">
        <v>344</v>
      </c>
      <c r="D162" s="1">
        <v>4301846</v>
      </c>
      <c r="E162" s="1">
        <v>0</v>
      </c>
      <c r="F162" s="1" t="s">
        <v>24</v>
      </c>
      <c r="G162" s="1" t="s">
        <v>25</v>
      </c>
      <c r="H162" s="2">
        <v>40222</v>
      </c>
      <c r="I162" s="2">
        <v>42310</v>
      </c>
      <c r="J162" s="2" t="s">
        <v>25</v>
      </c>
      <c r="K162" s="3">
        <v>450000</v>
      </c>
      <c r="L162" s="3"/>
      <c r="M162" s="3">
        <v>-450000</v>
      </c>
      <c r="N162" s="1">
        <v>0</v>
      </c>
      <c r="O162" s="1">
        <v>1</v>
      </c>
      <c r="P162" s="1">
        <v>0</v>
      </c>
      <c r="Q162" s="3">
        <v>0</v>
      </c>
      <c r="R162" s="3"/>
      <c r="S162" s="3">
        <v>-450000</v>
      </c>
      <c r="T162" s="1">
        <v>9.3013700000000004</v>
      </c>
      <c r="U162" s="3">
        <v>35000</v>
      </c>
      <c r="V162" s="3">
        <v>0</v>
      </c>
      <c r="W162" s="1">
        <v>1.6438360000000001</v>
      </c>
      <c r="X162" s="1">
        <v>-415000</v>
      </c>
      <c r="Y162" s="22">
        <v>10.945209999999999</v>
      </c>
      <c r="Z162" s="4">
        <f>Table1[[#This Row],[totalTimeKept]]*$AD$3</f>
        <v>164178.15</v>
      </c>
      <c r="AA162" s="4">
        <f>Y162-Z162</f>
        <v>-164167.20478999999</v>
      </c>
    </row>
    <row r="163" spans="1:27" x14ac:dyDescent="0.3">
      <c r="A163" s="1">
        <v>8830017</v>
      </c>
      <c r="B163" s="1" t="s">
        <v>345</v>
      </c>
      <c r="C163" s="1" t="s">
        <v>346</v>
      </c>
      <c r="D163" s="1">
        <v>7263322</v>
      </c>
      <c r="E163" s="1">
        <v>0</v>
      </c>
      <c r="F163" s="1" t="s">
        <v>25</v>
      </c>
      <c r="G163" s="1" t="s">
        <v>46</v>
      </c>
      <c r="H163" s="2">
        <v>40221</v>
      </c>
      <c r="I163" s="2" t="s">
        <v>25</v>
      </c>
      <c r="J163" s="2">
        <v>40804</v>
      </c>
      <c r="K163" s="3"/>
      <c r="L163" s="3">
        <v>8000</v>
      </c>
      <c r="M163" s="3">
        <v>8000</v>
      </c>
      <c r="N163" s="1">
        <v>1</v>
      </c>
      <c r="O163" s="1">
        <v>0</v>
      </c>
      <c r="P163" s="1">
        <v>1</v>
      </c>
      <c r="Q163" s="3"/>
      <c r="R163" s="3"/>
      <c r="S163" s="3">
        <v>8000</v>
      </c>
      <c r="T163" s="1">
        <v>1.5972599999999999</v>
      </c>
      <c r="U163" s="3"/>
      <c r="V163" s="3"/>
      <c r="X163" s="1">
        <v>8000</v>
      </c>
      <c r="Y163" s="22">
        <v>1.5972599999999999</v>
      </c>
      <c r="Z163" s="4">
        <f>Table1[[#This Row],[totalTimeKept]]*$AD$3</f>
        <v>23958.899999999998</v>
      </c>
      <c r="AA163" s="4">
        <f>Y163-Z163</f>
        <v>-23957.302739999999</v>
      </c>
    </row>
    <row r="164" spans="1:27" x14ac:dyDescent="0.3">
      <c r="A164" s="1">
        <v>8830019</v>
      </c>
      <c r="B164" s="1" t="s">
        <v>347</v>
      </c>
      <c r="C164" s="1" t="s">
        <v>348</v>
      </c>
      <c r="D164" s="1">
        <v>7778152</v>
      </c>
      <c r="E164" s="1">
        <v>0</v>
      </c>
      <c r="F164" s="1" t="s">
        <v>25</v>
      </c>
      <c r="G164" s="1" t="s">
        <v>349</v>
      </c>
      <c r="H164" s="2">
        <v>40220</v>
      </c>
      <c r="I164" s="2" t="s">
        <v>25</v>
      </c>
      <c r="J164" s="2">
        <v>40493</v>
      </c>
      <c r="K164" s="3"/>
      <c r="L164" s="3">
        <v>3500</v>
      </c>
      <c r="M164" s="3">
        <v>3500</v>
      </c>
      <c r="N164" s="1">
        <v>1</v>
      </c>
      <c r="O164" s="1">
        <v>0</v>
      </c>
      <c r="P164" s="1">
        <v>1</v>
      </c>
      <c r="Q164" s="3"/>
      <c r="R164" s="3"/>
      <c r="S164" s="3">
        <v>3500</v>
      </c>
      <c r="T164" s="1">
        <v>0.74794519999999998</v>
      </c>
      <c r="U164" s="3"/>
      <c r="V164" s="3"/>
      <c r="X164" s="1">
        <v>3500</v>
      </c>
      <c r="Y164" s="22">
        <v>0.74794519999999998</v>
      </c>
      <c r="Z164" s="4">
        <f>Table1[[#This Row],[totalTimeKept]]*$AD$3</f>
        <v>11219.178</v>
      </c>
      <c r="AA164" s="4">
        <f>Y164-Z164</f>
        <v>-11218.430054799999</v>
      </c>
    </row>
    <row r="165" spans="1:27" x14ac:dyDescent="0.3">
      <c r="A165" s="1">
        <v>8839521</v>
      </c>
      <c r="B165" s="1" t="s">
        <v>350</v>
      </c>
      <c r="C165" s="1" t="s">
        <v>351</v>
      </c>
      <c r="D165" s="1">
        <v>6523621</v>
      </c>
      <c r="E165" s="1">
        <v>0</v>
      </c>
      <c r="F165" s="1" t="s">
        <v>139</v>
      </c>
      <c r="G165" s="1" t="s">
        <v>24</v>
      </c>
      <c r="H165" s="2">
        <v>40215</v>
      </c>
      <c r="I165" s="2">
        <v>41840</v>
      </c>
      <c r="J165" s="2">
        <v>42684</v>
      </c>
      <c r="K165" s="3">
        <v>250000</v>
      </c>
      <c r="L165" s="3">
        <v>450000</v>
      </c>
      <c r="M165" s="3">
        <v>200000</v>
      </c>
      <c r="N165" s="1">
        <v>0</v>
      </c>
      <c r="O165" s="1">
        <v>1</v>
      </c>
      <c r="P165" s="1">
        <v>1</v>
      </c>
      <c r="Q165" s="3">
        <v>20000</v>
      </c>
      <c r="R165" s="3"/>
      <c r="S165" s="3">
        <v>180000</v>
      </c>
      <c r="T165" s="1">
        <v>2.3123290000000001</v>
      </c>
      <c r="U165" s="3">
        <v>45000</v>
      </c>
      <c r="V165" s="3">
        <v>0</v>
      </c>
      <c r="W165" s="1">
        <v>0.76164379999999998</v>
      </c>
      <c r="X165" s="1">
        <v>225000</v>
      </c>
      <c r="Y165" s="22">
        <v>3.0739730000000001</v>
      </c>
      <c r="Z165" s="4">
        <f>Table1[[#This Row],[totalTimeKept]]*$AD$3</f>
        <v>46109.595000000001</v>
      </c>
      <c r="AA165" s="4">
        <f>Y165-Z165</f>
        <v>-46106.521027000003</v>
      </c>
    </row>
    <row r="166" spans="1:27" x14ac:dyDescent="0.3">
      <c r="A166" s="1">
        <v>8848893</v>
      </c>
      <c r="B166" s="1" t="s">
        <v>352</v>
      </c>
      <c r="C166" s="1" t="s">
        <v>353</v>
      </c>
      <c r="D166" s="1">
        <v>6865729</v>
      </c>
      <c r="E166" s="1">
        <v>0</v>
      </c>
      <c r="F166" s="1" t="s">
        <v>25</v>
      </c>
      <c r="G166" s="1" t="s">
        <v>46</v>
      </c>
      <c r="H166" s="2">
        <v>40230</v>
      </c>
      <c r="I166" s="2" t="s">
        <v>25</v>
      </c>
      <c r="J166" s="2">
        <v>40763</v>
      </c>
      <c r="K166" s="3"/>
      <c r="L166" s="3">
        <v>950000</v>
      </c>
      <c r="M166" s="3">
        <v>950000</v>
      </c>
      <c r="N166" s="1">
        <v>1</v>
      </c>
      <c r="O166" s="1">
        <v>0</v>
      </c>
      <c r="P166" s="1">
        <v>1</v>
      </c>
      <c r="Q166" s="3"/>
      <c r="R166" s="3"/>
      <c r="S166" s="3">
        <v>950000</v>
      </c>
      <c r="T166" s="1">
        <v>1.4602740000000001</v>
      </c>
      <c r="U166" s="3"/>
      <c r="V166" s="3"/>
      <c r="X166" s="1">
        <v>950000</v>
      </c>
      <c r="Y166" s="22">
        <v>1.4602740000000001</v>
      </c>
      <c r="Z166" s="4">
        <f>Table1[[#This Row],[totalTimeKept]]*$AD$3</f>
        <v>21904.11</v>
      </c>
      <c r="AA166" s="4">
        <f>Y166-Z166</f>
        <v>-21902.649726</v>
      </c>
    </row>
    <row r="167" spans="1:27" x14ac:dyDescent="0.3">
      <c r="A167" s="1">
        <v>8848896</v>
      </c>
      <c r="B167" s="1" t="s">
        <v>354</v>
      </c>
      <c r="C167" s="1" t="s">
        <v>355</v>
      </c>
      <c r="D167" s="1">
        <v>6907524</v>
      </c>
      <c r="E167" s="1">
        <v>0</v>
      </c>
      <c r="F167" s="1" t="s">
        <v>25</v>
      </c>
      <c r="G167" s="1" t="s">
        <v>46</v>
      </c>
      <c r="H167" s="2">
        <v>40242</v>
      </c>
      <c r="I167" s="1" t="s">
        <v>25</v>
      </c>
      <c r="J167" s="2">
        <v>40801</v>
      </c>
      <c r="K167" s="3"/>
      <c r="L167" s="3">
        <v>190000</v>
      </c>
      <c r="M167" s="3">
        <v>190000</v>
      </c>
      <c r="N167" s="1">
        <v>1</v>
      </c>
      <c r="O167" s="1">
        <v>0</v>
      </c>
      <c r="P167" s="1">
        <v>1</v>
      </c>
      <c r="Q167" s="3"/>
      <c r="R167" s="3"/>
      <c r="S167" s="3">
        <v>190000</v>
      </c>
      <c r="T167" s="1">
        <v>1.531507</v>
      </c>
      <c r="U167" s="3"/>
      <c r="V167" s="3"/>
      <c r="X167" s="1">
        <v>190000</v>
      </c>
      <c r="Y167" s="22">
        <v>1.531507</v>
      </c>
      <c r="Z167" s="4">
        <f>Table1[[#This Row],[totalTimeKept]]*$AD$3</f>
        <v>22972.605</v>
      </c>
      <c r="AA167" s="4">
        <f>Y167-Z167</f>
        <v>-22971.073493</v>
      </c>
    </row>
    <row r="168" spans="1:27" x14ac:dyDescent="0.3">
      <c r="A168" s="1">
        <v>8848899</v>
      </c>
      <c r="B168" s="1" t="s">
        <v>356</v>
      </c>
      <c r="C168" s="1" t="s">
        <v>357</v>
      </c>
      <c r="D168" s="1">
        <v>1450568</v>
      </c>
      <c r="E168" s="1">
        <v>0</v>
      </c>
      <c r="F168" s="1" t="s">
        <v>24</v>
      </c>
      <c r="G168" s="1" t="s">
        <v>24</v>
      </c>
      <c r="H168" s="2">
        <v>40249</v>
      </c>
      <c r="I168" s="2">
        <v>41585</v>
      </c>
      <c r="J168" s="2">
        <v>42043</v>
      </c>
      <c r="K168" s="3">
        <v>125000</v>
      </c>
      <c r="L168" s="3">
        <v>55000</v>
      </c>
      <c r="M168" s="3">
        <v>-70000</v>
      </c>
      <c r="N168" s="1">
        <v>0</v>
      </c>
      <c r="O168" s="1">
        <v>1</v>
      </c>
      <c r="P168" s="1">
        <v>1</v>
      </c>
      <c r="Q168" s="3">
        <v>25000</v>
      </c>
      <c r="R168" s="3"/>
      <c r="S168" s="3">
        <v>-95000</v>
      </c>
      <c r="T168" s="1">
        <v>1.254794</v>
      </c>
      <c r="U168" s="3">
        <v>95000</v>
      </c>
      <c r="V168" s="3">
        <v>0</v>
      </c>
      <c r="W168" s="1">
        <v>1.9863010000000001</v>
      </c>
      <c r="X168" s="1">
        <v>0</v>
      </c>
      <c r="Y168" s="22">
        <v>3.2410960000000002</v>
      </c>
      <c r="Z168" s="4">
        <f>Table1[[#This Row],[totalTimeKept]]*$AD$3</f>
        <v>48616.44</v>
      </c>
      <c r="AA168" s="4">
        <f>Y168-Z168</f>
        <v>-48613.198904000004</v>
      </c>
    </row>
    <row r="169" spans="1:27" x14ac:dyDescent="0.3">
      <c r="A169" s="1">
        <v>8850562</v>
      </c>
      <c r="B169" s="1" t="s">
        <v>358</v>
      </c>
      <c r="C169" s="1" t="s">
        <v>359</v>
      </c>
      <c r="D169" s="1">
        <v>4681443</v>
      </c>
      <c r="E169" s="1">
        <v>0</v>
      </c>
      <c r="F169" s="1" t="s">
        <v>24</v>
      </c>
      <c r="G169" s="1" t="s">
        <v>25</v>
      </c>
      <c r="H169" s="2">
        <v>40257</v>
      </c>
      <c r="I169" s="2">
        <v>42683</v>
      </c>
      <c r="J169" s="2" t="s">
        <v>25</v>
      </c>
      <c r="K169" s="3">
        <v>350000</v>
      </c>
      <c r="L169" s="3"/>
      <c r="M169" s="3">
        <v>-350000</v>
      </c>
      <c r="N169" s="1">
        <v>0</v>
      </c>
      <c r="O169" s="1">
        <v>1</v>
      </c>
      <c r="P169" s="1">
        <v>0</v>
      </c>
      <c r="Q169" s="3">
        <v>0</v>
      </c>
      <c r="R169" s="3"/>
      <c r="S169" s="3">
        <v>-350000</v>
      </c>
      <c r="T169" s="1">
        <v>8.2794519999999991</v>
      </c>
      <c r="U169" s="3">
        <v>275000</v>
      </c>
      <c r="V169" s="3">
        <v>0</v>
      </c>
      <c r="W169" s="1">
        <v>0.62739719999999999</v>
      </c>
      <c r="X169" s="1">
        <v>-75000</v>
      </c>
      <c r="Y169" s="22">
        <v>8.9068500000000004</v>
      </c>
      <c r="Z169" s="4">
        <f>Table1[[#This Row],[totalTimeKept]]*$AD$3</f>
        <v>133602.75</v>
      </c>
      <c r="AA169" s="4">
        <f>Y169-Z169</f>
        <v>-133593.84315</v>
      </c>
    </row>
    <row r="170" spans="1:27" x14ac:dyDescent="0.3">
      <c r="A170" s="1">
        <v>8851446</v>
      </c>
      <c r="B170" s="1" t="s">
        <v>360</v>
      </c>
      <c r="C170" s="1" t="s">
        <v>361</v>
      </c>
      <c r="D170" s="1">
        <v>1118003</v>
      </c>
      <c r="E170" s="1">
        <v>0</v>
      </c>
      <c r="F170" s="1" t="s">
        <v>46</v>
      </c>
      <c r="G170" s="1" t="s">
        <v>24</v>
      </c>
      <c r="H170" s="2">
        <v>40260</v>
      </c>
      <c r="I170" s="2">
        <v>40801</v>
      </c>
      <c r="J170" s="2">
        <v>41952</v>
      </c>
      <c r="K170" s="3">
        <v>70000</v>
      </c>
      <c r="L170" s="3">
        <v>110000</v>
      </c>
      <c r="M170" s="3">
        <v>40000</v>
      </c>
      <c r="N170" s="1">
        <v>0</v>
      </c>
      <c r="O170" s="1">
        <v>1</v>
      </c>
      <c r="P170" s="1">
        <v>1</v>
      </c>
      <c r="Q170" s="3"/>
      <c r="R170" s="3"/>
      <c r="S170" s="3">
        <v>40000</v>
      </c>
      <c r="T170" s="1">
        <v>3.1534249999999999</v>
      </c>
      <c r="U170" s="3"/>
      <c r="V170" s="3"/>
      <c r="X170" s="1">
        <v>40000</v>
      </c>
      <c r="Y170" s="22">
        <v>3.1534249999999999</v>
      </c>
      <c r="Z170" s="4">
        <f>Table1[[#This Row],[totalTimeKept]]*$AD$3</f>
        <v>47301.375</v>
      </c>
      <c r="AA170" s="4">
        <f>Y170-Z170</f>
        <v>-47298.221575000003</v>
      </c>
    </row>
    <row r="171" spans="1:27" x14ac:dyDescent="0.3">
      <c r="A171" s="1">
        <v>8851458</v>
      </c>
      <c r="B171" s="1" t="s">
        <v>362</v>
      </c>
      <c r="C171" s="1" t="s">
        <v>363</v>
      </c>
      <c r="D171" s="1">
        <v>2416430</v>
      </c>
      <c r="E171" s="1">
        <v>0</v>
      </c>
      <c r="F171" s="1" t="s">
        <v>46</v>
      </c>
      <c r="G171" s="1" t="s">
        <v>24</v>
      </c>
      <c r="H171" s="2">
        <v>40224</v>
      </c>
      <c r="I171" s="2">
        <v>40814</v>
      </c>
      <c r="J171" s="2">
        <v>41974</v>
      </c>
      <c r="K171" s="3">
        <v>190246</v>
      </c>
      <c r="L171" s="3">
        <v>295766</v>
      </c>
      <c r="M171" s="3">
        <v>105520</v>
      </c>
      <c r="N171" s="1">
        <v>0</v>
      </c>
      <c r="O171" s="1">
        <v>1</v>
      </c>
      <c r="P171" s="1">
        <v>1</v>
      </c>
      <c r="Q171" s="3"/>
      <c r="R171" s="3"/>
      <c r="S171" s="3">
        <v>105520</v>
      </c>
      <c r="T171" s="1">
        <v>3.1780819999999999</v>
      </c>
      <c r="U171" s="3"/>
      <c r="V171" s="3"/>
      <c r="X171" s="1">
        <v>105520</v>
      </c>
      <c r="Y171" s="22">
        <v>3.1780819999999999</v>
      </c>
      <c r="Z171" s="4">
        <f>Table1[[#This Row],[totalTimeKept]]*$AD$3</f>
        <v>47671.229999999996</v>
      </c>
      <c r="AA171" s="4">
        <f>Y171-Z171</f>
        <v>-47668.051917999997</v>
      </c>
    </row>
    <row r="172" spans="1:27" x14ac:dyDescent="0.3">
      <c r="A172" s="1">
        <v>8851545</v>
      </c>
      <c r="B172" s="1" t="s">
        <v>364</v>
      </c>
      <c r="C172" s="1" t="s">
        <v>365</v>
      </c>
      <c r="D172" s="1">
        <v>1399421</v>
      </c>
      <c r="E172" s="1">
        <v>0</v>
      </c>
      <c r="F172" s="1" t="s">
        <v>46</v>
      </c>
      <c r="G172" s="1" t="s">
        <v>24</v>
      </c>
      <c r="H172" s="2">
        <v>40252</v>
      </c>
      <c r="I172" s="2">
        <v>40801</v>
      </c>
      <c r="J172" s="2">
        <v>42312</v>
      </c>
      <c r="K172" s="3">
        <v>150000</v>
      </c>
      <c r="L172" s="3">
        <v>175000</v>
      </c>
      <c r="M172" s="3">
        <v>25000</v>
      </c>
      <c r="N172" s="1">
        <v>0</v>
      </c>
      <c r="O172" s="1">
        <v>1</v>
      </c>
      <c r="P172" s="1">
        <v>1</v>
      </c>
      <c r="Q172" s="3">
        <v>20000</v>
      </c>
      <c r="R172" s="3"/>
      <c r="S172" s="3">
        <v>5000</v>
      </c>
      <c r="T172" s="1">
        <v>4.1397259999999996</v>
      </c>
      <c r="U172" s="3"/>
      <c r="V172" s="3"/>
      <c r="X172" s="1">
        <v>5000</v>
      </c>
      <c r="Y172" s="22">
        <v>4.1397259999999996</v>
      </c>
      <c r="Z172" s="4">
        <f>Table1[[#This Row],[totalTimeKept]]*$AD$3</f>
        <v>62095.889999999992</v>
      </c>
      <c r="AA172" s="4">
        <f>Y172-Z172</f>
        <v>-62091.750273999991</v>
      </c>
    </row>
    <row r="173" spans="1:27" x14ac:dyDescent="0.3">
      <c r="A173" s="1">
        <v>8855111</v>
      </c>
      <c r="B173" s="1" t="s">
        <v>366</v>
      </c>
      <c r="C173" s="1" t="s">
        <v>367</v>
      </c>
      <c r="D173" s="1">
        <v>4642060</v>
      </c>
      <c r="E173" s="1">
        <v>0</v>
      </c>
      <c r="F173" s="1" t="s">
        <v>24</v>
      </c>
      <c r="G173" s="1" t="s">
        <v>25</v>
      </c>
      <c r="H173" s="2">
        <v>40237</v>
      </c>
      <c r="I173" s="2">
        <v>42772</v>
      </c>
      <c r="J173" s="2" t="s">
        <v>25</v>
      </c>
      <c r="K173" s="3">
        <v>62000</v>
      </c>
      <c r="L173" s="3"/>
      <c r="M173" s="3">
        <v>-62000</v>
      </c>
      <c r="N173" s="1">
        <v>0</v>
      </c>
      <c r="O173" s="1">
        <v>1</v>
      </c>
      <c r="P173" s="1">
        <v>0</v>
      </c>
      <c r="Q173" s="3">
        <v>0</v>
      </c>
      <c r="R173" s="3"/>
      <c r="S173" s="3">
        <v>-62000</v>
      </c>
      <c r="T173" s="1">
        <v>8.0356170000000002</v>
      </c>
      <c r="U173" s="3"/>
      <c r="V173" s="3"/>
      <c r="X173" s="1">
        <v>-62000</v>
      </c>
      <c r="Y173" s="22">
        <v>8.0356170000000002</v>
      </c>
      <c r="Z173" s="4">
        <f>Table1[[#This Row],[totalTimeKept]]*$AD$3</f>
        <v>120534.255</v>
      </c>
      <c r="AA173" s="4">
        <f>Y173-Z173</f>
        <v>-120526.219383</v>
      </c>
    </row>
    <row r="174" spans="1:27" x14ac:dyDescent="0.3">
      <c r="A174" s="1">
        <v>8857635</v>
      </c>
      <c r="B174" s="1" t="s">
        <v>368</v>
      </c>
      <c r="C174" s="1" t="s">
        <v>369</v>
      </c>
      <c r="D174" s="1">
        <v>7398500</v>
      </c>
      <c r="E174" s="1">
        <v>0</v>
      </c>
      <c r="F174" s="1" t="s">
        <v>139</v>
      </c>
      <c r="G174" s="1" t="s">
        <v>25</v>
      </c>
      <c r="H174" s="2">
        <v>40260</v>
      </c>
      <c r="I174" s="2">
        <v>42309</v>
      </c>
      <c r="J174" s="2" t="s">
        <v>25</v>
      </c>
      <c r="K174" s="3">
        <v>125000</v>
      </c>
      <c r="L174" s="3"/>
      <c r="M174" s="3">
        <v>-125000</v>
      </c>
      <c r="N174" s="1">
        <v>0</v>
      </c>
      <c r="O174" s="1">
        <v>1</v>
      </c>
      <c r="P174" s="1">
        <v>0</v>
      </c>
      <c r="Q174" s="3">
        <v>15000</v>
      </c>
      <c r="R174" s="3"/>
      <c r="S174" s="3">
        <v>-140000</v>
      </c>
      <c r="T174" s="1">
        <v>9.3041099999999997</v>
      </c>
      <c r="U174" s="3">
        <v>60000</v>
      </c>
      <c r="V174" s="3">
        <v>0</v>
      </c>
      <c r="W174" s="1">
        <v>1.484931</v>
      </c>
      <c r="X174" s="1">
        <v>-80000</v>
      </c>
      <c r="Y174" s="22">
        <v>10.78904</v>
      </c>
      <c r="Z174" s="4">
        <f>Table1[[#This Row],[totalTimeKept]]*$AD$3</f>
        <v>161835.6</v>
      </c>
      <c r="AA174" s="4">
        <f>Y174-Z174</f>
        <v>-161824.81096</v>
      </c>
    </row>
    <row r="175" spans="1:27" x14ac:dyDescent="0.3">
      <c r="A175" s="1">
        <v>8858818</v>
      </c>
      <c r="B175" s="1" t="s">
        <v>370</v>
      </c>
      <c r="C175" s="1" t="s">
        <v>371</v>
      </c>
      <c r="E175" s="1">
        <v>0</v>
      </c>
      <c r="F175" s="1" t="s">
        <v>24</v>
      </c>
      <c r="G175" s="1" t="s">
        <v>25</v>
      </c>
      <c r="H175" s="2">
        <v>40262</v>
      </c>
      <c r="I175" s="2">
        <v>43472</v>
      </c>
      <c r="J175" s="1" t="s">
        <v>25</v>
      </c>
      <c r="K175" s="3">
        <v>120000</v>
      </c>
      <c r="L175" s="3"/>
      <c r="M175" s="3">
        <v>-120000</v>
      </c>
      <c r="N175" s="1">
        <v>0</v>
      </c>
      <c r="O175" s="1">
        <v>1</v>
      </c>
      <c r="P175" s="1">
        <v>0</v>
      </c>
      <c r="Q175" s="3">
        <v>335000</v>
      </c>
      <c r="R175" s="3"/>
      <c r="S175" s="3">
        <v>-455000</v>
      </c>
      <c r="T175" s="1">
        <v>6.1178080000000001</v>
      </c>
      <c r="U175" s="3">
        <v>190000</v>
      </c>
      <c r="V175" s="3">
        <v>0</v>
      </c>
      <c r="W175" s="1">
        <v>2.769863</v>
      </c>
      <c r="X175" s="1">
        <v>-265000</v>
      </c>
      <c r="Y175" s="22">
        <v>8.8876709999999992</v>
      </c>
      <c r="Z175" s="4">
        <f>Table1[[#This Row],[totalTimeKept]]*$AD$3</f>
        <v>133315.065</v>
      </c>
      <c r="AA175" s="4">
        <f>Y175-Z175</f>
        <v>-133306.177329</v>
      </c>
    </row>
    <row r="176" spans="1:27" x14ac:dyDescent="0.3">
      <c r="A176" s="1">
        <v>8859158</v>
      </c>
      <c r="B176" s="1" t="s">
        <v>372</v>
      </c>
      <c r="C176" s="1" t="s">
        <v>373</v>
      </c>
      <c r="D176" s="1">
        <v>4004741</v>
      </c>
      <c r="E176" s="1">
        <v>0</v>
      </c>
      <c r="F176" s="1" t="s">
        <v>25</v>
      </c>
      <c r="G176" s="1" t="s">
        <v>46</v>
      </c>
      <c r="H176" s="2">
        <v>40254</v>
      </c>
      <c r="I176" s="2" t="s">
        <v>25</v>
      </c>
      <c r="J176" s="2">
        <v>40800</v>
      </c>
      <c r="K176" s="3"/>
      <c r="L176" s="3">
        <v>250000</v>
      </c>
      <c r="M176" s="3">
        <v>250000</v>
      </c>
      <c r="N176" s="1">
        <v>1</v>
      </c>
      <c r="O176" s="1">
        <v>0</v>
      </c>
      <c r="P176" s="1">
        <v>1</v>
      </c>
      <c r="Q176" s="3"/>
      <c r="R176" s="3"/>
      <c r="S176" s="3">
        <v>250000</v>
      </c>
      <c r="T176" s="1">
        <v>1.4958899999999999</v>
      </c>
      <c r="U176" s="3"/>
      <c r="V176" s="3"/>
      <c r="X176" s="1">
        <v>250000</v>
      </c>
      <c r="Y176" s="22">
        <v>1.4958899999999999</v>
      </c>
      <c r="Z176" s="4">
        <f>Table1[[#This Row],[totalTimeKept]]*$AD$3</f>
        <v>22438.35</v>
      </c>
      <c r="AA176" s="4">
        <f>Y176-Z176</f>
        <v>-22436.85411</v>
      </c>
    </row>
    <row r="177" spans="1:27" x14ac:dyDescent="0.3">
      <c r="A177" s="1">
        <v>8859160</v>
      </c>
      <c r="B177" s="1" t="s">
        <v>374</v>
      </c>
      <c r="C177" s="1" t="s">
        <v>304</v>
      </c>
      <c r="D177" s="1">
        <v>7198012</v>
      </c>
      <c r="E177" s="1">
        <v>0</v>
      </c>
      <c r="F177" s="1" t="s">
        <v>25</v>
      </c>
      <c r="G177" s="1" t="s">
        <v>46</v>
      </c>
      <c r="H177" s="2">
        <v>40255</v>
      </c>
      <c r="I177" s="1" t="s">
        <v>25</v>
      </c>
      <c r="J177" s="2">
        <v>40553</v>
      </c>
      <c r="K177" s="3"/>
      <c r="L177" s="3">
        <v>2000</v>
      </c>
      <c r="M177" s="3">
        <v>2000</v>
      </c>
      <c r="N177" s="1">
        <v>1</v>
      </c>
      <c r="O177" s="1">
        <v>0</v>
      </c>
      <c r="P177" s="1">
        <v>1</v>
      </c>
      <c r="Q177" s="3"/>
      <c r="R177" s="3"/>
      <c r="S177" s="3">
        <v>2000</v>
      </c>
      <c r="T177" s="1">
        <v>0.81643840000000001</v>
      </c>
      <c r="U177" s="3"/>
      <c r="V177" s="3"/>
      <c r="X177" s="1">
        <v>2000</v>
      </c>
      <c r="Y177" s="22">
        <v>0.81643840000000001</v>
      </c>
      <c r="Z177" s="4">
        <f>Table1[[#This Row],[totalTimeKept]]*$AD$3</f>
        <v>12246.576000000001</v>
      </c>
      <c r="AA177" s="4">
        <f>Y177-Z177</f>
        <v>-12245.759561600002</v>
      </c>
    </row>
    <row r="178" spans="1:27" x14ac:dyDescent="0.3">
      <c r="A178" s="1">
        <v>8859161</v>
      </c>
      <c r="B178" s="1" t="s">
        <v>375</v>
      </c>
      <c r="C178" s="1" t="s">
        <v>319</v>
      </c>
      <c r="D178" s="1">
        <v>7174563</v>
      </c>
      <c r="E178" s="1">
        <v>0</v>
      </c>
      <c r="F178" s="1" t="s">
        <v>25</v>
      </c>
      <c r="G178" s="1" t="s">
        <v>46</v>
      </c>
      <c r="H178" s="2">
        <v>40268</v>
      </c>
      <c r="I178" s="1" t="s">
        <v>25</v>
      </c>
      <c r="J178" s="2">
        <v>40841</v>
      </c>
      <c r="K178" s="3"/>
      <c r="L178" s="3">
        <v>65000</v>
      </c>
      <c r="M178" s="3">
        <v>65000</v>
      </c>
      <c r="N178" s="1">
        <v>1</v>
      </c>
      <c r="O178" s="1">
        <v>0</v>
      </c>
      <c r="P178" s="1">
        <v>1</v>
      </c>
      <c r="Q178" s="3"/>
      <c r="R178" s="3"/>
      <c r="S178" s="3">
        <v>65000</v>
      </c>
      <c r="T178" s="1">
        <v>1.569863</v>
      </c>
      <c r="U178" s="3"/>
      <c r="V178" s="3"/>
      <c r="X178" s="1">
        <v>65000</v>
      </c>
      <c r="Y178" s="22">
        <v>1.569863</v>
      </c>
      <c r="Z178" s="4">
        <f>Table1[[#This Row],[totalTimeKept]]*$AD$3</f>
        <v>23547.945</v>
      </c>
      <c r="AA178" s="4">
        <f>Y178-Z178</f>
        <v>-23546.375136999999</v>
      </c>
    </row>
    <row r="179" spans="1:27" x14ac:dyDescent="0.3">
      <c r="A179" s="1">
        <v>8866523</v>
      </c>
      <c r="B179" s="1" t="s">
        <v>376</v>
      </c>
      <c r="C179" s="1" t="s">
        <v>377</v>
      </c>
      <c r="D179" s="1">
        <v>1595712</v>
      </c>
      <c r="E179" s="1">
        <v>0</v>
      </c>
      <c r="F179" s="1" t="s">
        <v>46</v>
      </c>
      <c r="G179" s="1" t="s">
        <v>25</v>
      </c>
      <c r="H179" s="2">
        <v>40283</v>
      </c>
      <c r="I179" s="2">
        <v>40801</v>
      </c>
      <c r="J179" s="2" t="s">
        <v>25</v>
      </c>
      <c r="K179" s="3">
        <v>120000</v>
      </c>
      <c r="L179" s="3"/>
      <c r="M179" s="3">
        <v>-120000</v>
      </c>
      <c r="N179" s="1">
        <v>0</v>
      </c>
      <c r="O179" s="1">
        <v>1</v>
      </c>
      <c r="P179" s="1">
        <v>0</v>
      </c>
      <c r="Q179" s="3">
        <v>67500</v>
      </c>
      <c r="R179" s="3"/>
      <c r="S179" s="3">
        <v>-187500</v>
      </c>
      <c r="T179" s="1">
        <v>13.43562</v>
      </c>
      <c r="U179" s="3"/>
      <c r="V179" s="3"/>
      <c r="X179" s="1">
        <v>-187500</v>
      </c>
      <c r="Y179" s="22">
        <v>13.43562</v>
      </c>
      <c r="Z179" s="4">
        <f>Table1[[#This Row],[totalTimeKept]]*$AD$3</f>
        <v>201534.3</v>
      </c>
      <c r="AA179" s="4">
        <f>Y179-Z179</f>
        <v>-201520.86437999998</v>
      </c>
    </row>
    <row r="180" spans="1:27" x14ac:dyDescent="0.3">
      <c r="A180" s="1">
        <v>8867209</v>
      </c>
      <c r="B180" s="1" t="s">
        <v>378</v>
      </c>
      <c r="C180" s="1" t="s">
        <v>379</v>
      </c>
      <c r="D180" s="1">
        <v>7190124</v>
      </c>
      <c r="E180" s="1">
        <v>0</v>
      </c>
      <c r="F180" s="1" t="s">
        <v>139</v>
      </c>
      <c r="G180" s="1" t="s">
        <v>25</v>
      </c>
      <c r="H180" s="2">
        <v>40265</v>
      </c>
      <c r="I180" s="2">
        <v>42681</v>
      </c>
      <c r="J180" s="2" t="s">
        <v>25</v>
      </c>
      <c r="K180" s="3">
        <v>100000</v>
      </c>
      <c r="L180" s="3"/>
      <c r="M180" s="3">
        <v>-100000</v>
      </c>
      <c r="N180" s="1">
        <v>0</v>
      </c>
      <c r="O180" s="1">
        <v>1</v>
      </c>
      <c r="P180" s="1">
        <v>0</v>
      </c>
      <c r="Q180" s="3">
        <v>0</v>
      </c>
      <c r="R180" s="3"/>
      <c r="S180" s="3">
        <v>-100000</v>
      </c>
      <c r="T180" s="1">
        <v>8.2849310000000003</v>
      </c>
      <c r="U180" s="3"/>
      <c r="V180" s="3"/>
      <c r="X180" s="1">
        <v>-100000</v>
      </c>
      <c r="Y180" s="22">
        <v>8.2849310000000003</v>
      </c>
      <c r="Z180" s="4">
        <f>Table1[[#This Row],[totalTimeKept]]*$AD$3</f>
        <v>124273.96500000001</v>
      </c>
      <c r="AA180" s="4">
        <f>Y180-Z180</f>
        <v>-124265.68006900001</v>
      </c>
    </row>
    <row r="181" spans="1:27" x14ac:dyDescent="0.3">
      <c r="A181" s="1">
        <v>8871917</v>
      </c>
      <c r="B181" s="1" t="s">
        <v>380</v>
      </c>
      <c r="C181" s="1" t="s">
        <v>381</v>
      </c>
      <c r="D181" s="1">
        <v>7425413</v>
      </c>
      <c r="E181" s="1">
        <v>0</v>
      </c>
      <c r="F181" s="1" t="s">
        <v>139</v>
      </c>
      <c r="G181" s="1" t="s">
        <v>24</v>
      </c>
      <c r="H181" s="2">
        <v>40293</v>
      </c>
      <c r="I181" s="2">
        <v>42681</v>
      </c>
      <c r="J181" s="2">
        <v>43409</v>
      </c>
      <c r="K181" s="3">
        <v>350000</v>
      </c>
      <c r="L181" s="3">
        <v>500000</v>
      </c>
      <c r="M181" s="3">
        <v>150000</v>
      </c>
      <c r="N181" s="1">
        <v>0</v>
      </c>
      <c r="O181" s="1">
        <v>1</v>
      </c>
      <c r="P181" s="1">
        <v>1</v>
      </c>
      <c r="Q181" s="3">
        <v>25000</v>
      </c>
      <c r="R181" s="3"/>
      <c r="S181" s="3">
        <v>125000</v>
      </c>
      <c r="T181" s="1">
        <v>1.994521</v>
      </c>
      <c r="U181" s="3">
        <v>20000</v>
      </c>
      <c r="V181" s="3">
        <v>0</v>
      </c>
      <c r="W181" s="1">
        <v>2.435616</v>
      </c>
      <c r="X181" s="1">
        <v>145000</v>
      </c>
      <c r="Y181" s="22">
        <v>4.4301370000000002</v>
      </c>
      <c r="Z181" s="4">
        <f>Table1[[#This Row],[totalTimeKept]]*$AD$3</f>
        <v>66452.055000000008</v>
      </c>
      <c r="AA181" s="4">
        <f>Y181-Z181</f>
        <v>-66447.624863000005</v>
      </c>
    </row>
    <row r="182" spans="1:27" x14ac:dyDescent="0.3">
      <c r="A182" s="1">
        <v>8875875</v>
      </c>
      <c r="B182" s="1" t="s">
        <v>382</v>
      </c>
      <c r="C182" s="1" t="s">
        <v>383</v>
      </c>
      <c r="D182" s="1">
        <v>4967430</v>
      </c>
      <c r="E182" s="1">
        <v>0</v>
      </c>
      <c r="F182" s="1" t="s">
        <v>24</v>
      </c>
      <c r="G182" s="1" t="s">
        <v>25</v>
      </c>
      <c r="H182" s="2">
        <v>40288</v>
      </c>
      <c r="I182" s="2">
        <v>42682</v>
      </c>
      <c r="J182" s="2" t="s">
        <v>25</v>
      </c>
      <c r="K182" s="3">
        <v>360000</v>
      </c>
      <c r="L182" s="3"/>
      <c r="M182" s="3">
        <v>-360000</v>
      </c>
      <c r="N182" s="1">
        <v>0</v>
      </c>
      <c r="O182" s="1">
        <v>1</v>
      </c>
      <c r="P182" s="1">
        <v>0</v>
      </c>
      <c r="Q182" s="3">
        <v>41111.11</v>
      </c>
      <c r="R182" s="3"/>
      <c r="S182" s="3">
        <v>-401111.1</v>
      </c>
      <c r="T182" s="1">
        <v>8.2821920000000002</v>
      </c>
      <c r="U182" s="3">
        <v>150000</v>
      </c>
      <c r="V182" s="3">
        <v>0</v>
      </c>
      <c r="W182" s="1">
        <v>0.66301370000000004</v>
      </c>
      <c r="X182" s="1">
        <v>-251111.1</v>
      </c>
      <c r="Y182" s="22">
        <v>8.9452060000000007</v>
      </c>
      <c r="Z182" s="4">
        <f>Table1[[#This Row],[totalTimeKept]]*$AD$3</f>
        <v>134178.09</v>
      </c>
      <c r="AA182" s="4">
        <f>Y182-Z182</f>
        <v>-134169.14479399999</v>
      </c>
    </row>
    <row r="183" spans="1:27" x14ac:dyDescent="0.3">
      <c r="A183" s="1">
        <v>8877601</v>
      </c>
      <c r="B183" s="1" t="s">
        <v>384</v>
      </c>
      <c r="C183" s="1" t="s">
        <v>385</v>
      </c>
      <c r="D183" s="1">
        <v>1292833</v>
      </c>
      <c r="E183" s="1">
        <v>0</v>
      </c>
      <c r="F183" s="1" t="s">
        <v>24</v>
      </c>
      <c r="G183" s="1" t="s">
        <v>24</v>
      </c>
      <c r="H183" s="2">
        <v>40254</v>
      </c>
      <c r="I183" s="2">
        <v>42313</v>
      </c>
      <c r="J183" s="2">
        <v>42684</v>
      </c>
      <c r="K183" s="3">
        <v>150000</v>
      </c>
      <c r="L183" s="3">
        <v>200000</v>
      </c>
      <c r="M183" s="3">
        <v>50000</v>
      </c>
      <c r="N183" s="1">
        <v>0</v>
      </c>
      <c r="O183" s="1">
        <v>1</v>
      </c>
      <c r="P183" s="1">
        <v>1</v>
      </c>
      <c r="Q183" s="3">
        <v>0</v>
      </c>
      <c r="R183" s="3"/>
      <c r="S183" s="3">
        <v>50000</v>
      </c>
      <c r="T183" s="1">
        <v>1.016438</v>
      </c>
      <c r="U183" s="3">
        <v>220000</v>
      </c>
      <c r="V183" s="3">
        <v>0</v>
      </c>
      <c r="W183" s="1">
        <v>0.80547950000000001</v>
      </c>
      <c r="X183" s="1">
        <v>270000</v>
      </c>
      <c r="Y183" s="22">
        <v>1.8219179999999999</v>
      </c>
      <c r="Z183" s="4">
        <f>Table1[[#This Row],[totalTimeKept]]*$AD$3</f>
        <v>27328.77</v>
      </c>
      <c r="AA183" s="4">
        <f>Y183-Z183</f>
        <v>-27326.948081999999</v>
      </c>
    </row>
    <row r="184" spans="1:27" x14ac:dyDescent="0.3">
      <c r="A184" s="1">
        <v>8879141</v>
      </c>
      <c r="B184" s="1" t="s">
        <v>386</v>
      </c>
      <c r="C184" s="1" t="s">
        <v>387</v>
      </c>
      <c r="D184" s="1">
        <v>7190195</v>
      </c>
      <c r="E184" s="1">
        <v>0</v>
      </c>
      <c r="F184" s="1" t="s">
        <v>24</v>
      </c>
      <c r="G184" s="1" t="s">
        <v>24</v>
      </c>
      <c r="H184" s="2">
        <v>40217</v>
      </c>
      <c r="I184" s="2">
        <v>43046</v>
      </c>
      <c r="J184" s="2">
        <v>44342</v>
      </c>
      <c r="K184" s="3">
        <v>225000</v>
      </c>
      <c r="L184" s="3">
        <v>93043</v>
      </c>
      <c r="M184" s="3">
        <v>-131957</v>
      </c>
      <c r="N184" s="1">
        <v>0</v>
      </c>
      <c r="O184" s="1">
        <v>1</v>
      </c>
      <c r="P184" s="1">
        <v>1</v>
      </c>
      <c r="Q184" s="3">
        <v>0</v>
      </c>
      <c r="R184" s="3"/>
      <c r="S184" s="3">
        <v>-131957</v>
      </c>
      <c r="T184" s="1">
        <v>3.5506850000000001</v>
      </c>
      <c r="U184" s="3">
        <v>135000</v>
      </c>
      <c r="V184" s="3">
        <v>0</v>
      </c>
      <c r="W184" s="1">
        <v>1.413699</v>
      </c>
      <c r="X184" s="1">
        <v>3043</v>
      </c>
      <c r="Y184" s="22">
        <v>4.9643839999999999</v>
      </c>
      <c r="Z184" s="4">
        <f>Table1[[#This Row],[totalTimeKept]]*$AD$3</f>
        <v>74465.759999999995</v>
      </c>
      <c r="AA184" s="4">
        <f>Y184-Z184</f>
        <v>-74460.795615999989</v>
      </c>
    </row>
    <row r="185" spans="1:27" x14ac:dyDescent="0.3">
      <c r="A185" s="1">
        <v>8879986</v>
      </c>
      <c r="B185" s="1" t="s">
        <v>388</v>
      </c>
      <c r="C185" s="1" t="s">
        <v>389</v>
      </c>
      <c r="D185" s="1">
        <v>1267881</v>
      </c>
      <c r="E185" s="1">
        <v>0</v>
      </c>
      <c r="F185" s="1" t="s">
        <v>46</v>
      </c>
      <c r="G185" s="1" t="s">
        <v>292</v>
      </c>
      <c r="H185" s="2">
        <v>40290</v>
      </c>
      <c r="I185" s="2">
        <v>40842</v>
      </c>
      <c r="J185" s="2">
        <v>41050</v>
      </c>
      <c r="K185" s="3">
        <v>24000</v>
      </c>
      <c r="L185" s="3">
        <v>24000</v>
      </c>
      <c r="M185" s="3">
        <v>0</v>
      </c>
      <c r="N185" s="1">
        <v>0</v>
      </c>
      <c r="O185" s="1">
        <v>1</v>
      </c>
      <c r="P185" s="1">
        <v>1</v>
      </c>
      <c r="Q185" s="3"/>
      <c r="R185" s="3"/>
      <c r="S185" s="3">
        <v>0</v>
      </c>
      <c r="T185" s="1">
        <v>0.56986300000000001</v>
      </c>
      <c r="U185" s="3"/>
      <c r="V185" s="3"/>
      <c r="X185" s="1">
        <v>0</v>
      </c>
      <c r="Y185" s="22">
        <v>0.56986300000000001</v>
      </c>
      <c r="Z185" s="4">
        <f>Table1[[#This Row],[totalTimeKept]]*$AD$3</f>
        <v>8547.9449999999997</v>
      </c>
      <c r="AA185" s="4">
        <f>Y185-Z185</f>
        <v>-8547.3751369999991</v>
      </c>
    </row>
    <row r="186" spans="1:27" x14ac:dyDescent="0.3">
      <c r="A186" s="1">
        <v>8884253</v>
      </c>
      <c r="B186" s="1" t="s">
        <v>390</v>
      </c>
      <c r="C186" s="1" t="s">
        <v>391</v>
      </c>
      <c r="D186" s="1">
        <v>1290998</v>
      </c>
      <c r="E186" s="1">
        <v>0</v>
      </c>
      <c r="F186" s="1" t="s">
        <v>46</v>
      </c>
      <c r="G186" s="1" t="s">
        <v>24</v>
      </c>
      <c r="H186" s="2">
        <v>40310</v>
      </c>
      <c r="I186" s="2">
        <v>40800</v>
      </c>
      <c r="J186" s="2">
        <v>41282</v>
      </c>
      <c r="K186" s="3">
        <v>80000</v>
      </c>
      <c r="L186" s="3">
        <v>50000</v>
      </c>
      <c r="M186" s="3">
        <v>-30000</v>
      </c>
      <c r="N186" s="1">
        <v>0</v>
      </c>
      <c r="O186" s="1">
        <v>1</v>
      </c>
      <c r="P186" s="1">
        <v>1</v>
      </c>
      <c r="Q186" s="3"/>
      <c r="R186" s="3"/>
      <c r="S186" s="3">
        <v>-30000</v>
      </c>
      <c r="T186" s="1">
        <v>1.3205480000000001</v>
      </c>
      <c r="U186" s="3"/>
      <c r="V186" s="3"/>
      <c r="X186" s="1">
        <v>-30000</v>
      </c>
      <c r="Y186" s="22">
        <v>1.3205480000000001</v>
      </c>
      <c r="Z186" s="4">
        <f>Table1[[#This Row],[totalTimeKept]]*$AD$3</f>
        <v>19808.22</v>
      </c>
      <c r="AA186" s="4">
        <f>Y186-Z186</f>
        <v>-19806.899452000001</v>
      </c>
    </row>
    <row r="187" spans="1:27" x14ac:dyDescent="0.3">
      <c r="A187" s="1">
        <v>8888476</v>
      </c>
      <c r="B187" s="1" t="s">
        <v>392</v>
      </c>
      <c r="C187" s="1" t="s">
        <v>393</v>
      </c>
      <c r="D187" s="1">
        <v>1341417</v>
      </c>
      <c r="E187" s="1">
        <v>0</v>
      </c>
      <c r="F187" s="1" t="s">
        <v>46</v>
      </c>
      <c r="G187" s="1" t="s">
        <v>24</v>
      </c>
      <c r="H187" s="2">
        <v>40311</v>
      </c>
      <c r="I187" s="2">
        <v>40804</v>
      </c>
      <c r="J187" s="2">
        <v>41951</v>
      </c>
      <c r="K187" s="3">
        <v>50000</v>
      </c>
      <c r="L187" s="3">
        <v>70000</v>
      </c>
      <c r="M187" s="3">
        <v>20000</v>
      </c>
      <c r="N187" s="1">
        <v>0</v>
      </c>
      <c r="O187" s="1">
        <v>1</v>
      </c>
      <c r="P187" s="1">
        <v>1</v>
      </c>
      <c r="Q187" s="3"/>
      <c r="R187" s="3"/>
      <c r="S187" s="3">
        <v>20000</v>
      </c>
      <c r="T187" s="1">
        <v>3.1424660000000002</v>
      </c>
      <c r="U187" s="3"/>
      <c r="V187" s="3"/>
      <c r="X187" s="1">
        <v>20000</v>
      </c>
      <c r="Y187" s="22">
        <v>3.1424660000000002</v>
      </c>
      <c r="Z187" s="4">
        <f>Table1[[#This Row],[totalTimeKept]]*$AD$3</f>
        <v>47136.990000000005</v>
      </c>
      <c r="AA187" s="4">
        <f>Y187-Z187</f>
        <v>-47133.847534000008</v>
      </c>
    </row>
    <row r="188" spans="1:27" x14ac:dyDescent="0.3">
      <c r="A188" s="1">
        <v>8893462</v>
      </c>
      <c r="B188" s="1" t="s">
        <v>394</v>
      </c>
      <c r="C188" s="1" t="s">
        <v>395</v>
      </c>
      <c r="D188" s="1">
        <v>6144512</v>
      </c>
      <c r="E188" s="1">
        <v>0</v>
      </c>
      <c r="F188" s="1" t="s">
        <v>24</v>
      </c>
      <c r="G188" s="1" t="s">
        <v>24</v>
      </c>
      <c r="H188" s="2">
        <v>40285</v>
      </c>
      <c r="I188" s="2">
        <v>43046</v>
      </c>
      <c r="J188" s="2">
        <v>43959</v>
      </c>
      <c r="K188" s="3">
        <v>400000</v>
      </c>
      <c r="L188" s="3">
        <v>120175</v>
      </c>
      <c r="M188" s="3">
        <v>-279825</v>
      </c>
      <c r="N188" s="1">
        <v>0</v>
      </c>
      <c r="O188" s="1">
        <v>1</v>
      </c>
      <c r="P188" s="1">
        <v>1</v>
      </c>
      <c r="Q188" s="3">
        <v>0</v>
      </c>
      <c r="R188" s="3"/>
      <c r="S188" s="3">
        <v>-279825</v>
      </c>
      <c r="T188" s="1">
        <v>2.5013700000000001</v>
      </c>
      <c r="U188" s="3"/>
      <c r="V188" s="3"/>
      <c r="X188" s="1">
        <v>-279825</v>
      </c>
      <c r="Y188" s="22">
        <v>2.5013700000000001</v>
      </c>
      <c r="Z188" s="4">
        <f>Table1[[#This Row],[totalTimeKept]]*$AD$3</f>
        <v>37520.550000000003</v>
      </c>
      <c r="AA188" s="4">
        <f>Y188-Z188</f>
        <v>-37518.048630000005</v>
      </c>
    </row>
    <row r="189" spans="1:27" x14ac:dyDescent="0.3">
      <c r="A189" s="1">
        <v>8894817</v>
      </c>
      <c r="B189" s="1" t="s">
        <v>396</v>
      </c>
      <c r="C189" s="1" t="s">
        <v>397</v>
      </c>
      <c r="D189" s="1">
        <v>7209761</v>
      </c>
      <c r="E189" s="1">
        <v>0</v>
      </c>
      <c r="F189" s="1" t="s">
        <v>139</v>
      </c>
      <c r="G189" s="1" t="s">
        <v>24</v>
      </c>
      <c r="H189" s="2">
        <v>40308</v>
      </c>
      <c r="I189" s="2">
        <v>42315</v>
      </c>
      <c r="J189" s="2">
        <v>43050</v>
      </c>
      <c r="K189" s="3">
        <v>95000</v>
      </c>
      <c r="L189" s="3">
        <v>170000</v>
      </c>
      <c r="M189" s="3">
        <v>75000</v>
      </c>
      <c r="N189" s="1">
        <v>0</v>
      </c>
      <c r="O189" s="1">
        <v>1</v>
      </c>
      <c r="P189" s="1">
        <v>1</v>
      </c>
      <c r="Q189" s="3">
        <v>12500</v>
      </c>
      <c r="R189" s="3"/>
      <c r="S189" s="3">
        <v>62500</v>
      </c>
      <c r="T189" s="1">
        <v>2.0136989999999999</v>
      </c>
      <c r="U189" s="3">
        <v>155000</v>
      </c>
      <c r="V189" s="3">
        <v>0</v>
      </c>
      <c r="W189" s="1">
        <v>0.76438360000000005</v>
      </c>
      <c r="X189" s="1">
        <v>217500</v>
      </c>
      <c r="Y189" s="22">
        <v>2.7780819999999999</v>
      </c>
      <c r="Z189" s="4">
        <f>Table1[[#This Row],[totalTimeKept]]*$AD$3</f>
        <v>41671.229999999996</v>
      </c>
      <c r="AA189" s="4">
        <f>Y189-Z189</f>
        <v>-41668.451917999999</v>
      </c>
    </row>
    <row r="190" spans="1:27" x14ac:dyDescent="0.3">
      <c r="A190" s="1">
        <v>8902883</v>
      </c>
      <c r="B190" s="1" t="s">
        <v>398</v>
      </c>
      <c r="C190" s="1" t="s">
        <v>399</v>
      </c>
      <c r="D190" s="1">
        <v>6863808</v>
      </c>
      <c r="E190" s="1">
        <v>0</v>
      </c>
      <c r="F190" s="1" t="s">
        <v>139</v>
      </c>
      <c r="G190" s="1" t="s">
        <v>24</v>
      </c>
      <c r="H190" s="2">
        <v>40278</v>
      </c>
      <c r="I190" s="2">
        <v>42562</v>
      </c>
      <c r="J190" s="2">
        <v>42886</v>
      </c>
      <c r="K190" s="3">
        <v>250000</v>
      </c>
      <c r="L190" s="3">
        <v>373300</v>
      </c>
      <c r="M190" s="3">
        <v>123300</v>
      </c>
      <c r="N190" s="1">
        <v>0</v>
      </c>
      <c r="O190" s="1">
        <v>1</v>
      </c>
      <c r="P190" s="1">
        <v>1</v>
      </c>
      <c r="Q190" s="3">
        <v>300000</v>
      </c>
      <c r="R190" s="3"/>
      <c r="S190" s="3">
        <v>-176700</v>
      </c>
      <c r="T190" s="1">
        <v>0.88767119999999999</v>
      </c>
      <c r="U190" s="3"/>
      <c r="V190" s="3"/>
      <c r="X190" s="1">
        <v>-176700</v>
      </c>
      <c r="Y190" s="22">
        <v>0.88767119999999999</v>
      </c>
      <c r="Z190" s="4">
        <f>Table1[[#This Row],[totalTimeKept]]*$AD$3</f>
        <v>13315.067999999999</v>
      </c>
      <c r="AA190" s="4">
        <f>Y190-Z190</f>
        <v>-13314.180328799999</v>
      </c>
    </row>
    <row r="191" spans="1:27" x14ac:dyDescent="0.3">
      <c r="A191" s="1">
        <v>8926093</v>
      </c>
      <c r="B191" s="1" t="s">
        <v>400</v>
      </c>
      <c r="C191" s="1" t="s">
        <v>401</v>
      </c>
      <c r="D191" s="1">
        <v>4006622</v>
      </c>
      <c r="E191" s="1">
        <v>0</v>
      </c>
      <c r="F191" s="1" t="s">
        <v>24</v>
      </c>
      <c r="G191" s="1" t="s">
        <v>25</v>
      </c>
      <c r="H191" s="2">
        <v>40226</v>
      </c>
      <c r="I191" s="2">
        <v>41947</v>
      </c>
      <c r="J191" s="2" t="s">
        <v>25</v>
      </c>
      <c r="K191" s="3">
        <v>170000</v>
      </c>
      <c r="L191" s="3"/>
      <c r="M191" s="3">
        <v>-170000</v>
      </c>
      <c r="N191" s="1">
        <v>0</v>
      </c>
      <c r="O191" s="1">
        <v>1</v>
      </c>
      <c r="P191" s="1">
        <v>0</v>
      </c>
      <c r="Q191" s="3">
        <v>407925.9</v>
      </c>
      <c r="R191" s="3"/>
      <c r="S191" s="3">
        <v>-577925.9</v>
      </c>
      <c r="T191" s="1">
        <v>10.29589</v>
      </c>
      <c r="U191" s="3">
        <v>480000</v>
      </c>
      <c r="V191" s="3">
        <v>0</v>
      </c>
      <c r="W191" s="1">
        <v>3.5095890000000001</v>
      </c>
      <c r="X191" s="1">
        <v>-97925.94</v>
      </c>
      <c r="Y191" s="22">
        <v>13.805479999999999</v>
      </c>
      <c r="Z191" s="4">
        <f>Table1[[#This Row],[totalTimeKept]]*$AD$3</f>
        <v>207082.19999999998</v>
      </c>
      <c r="AA191" s="4">
        <f>Y191-Z191</f>
        <v>-207068.39451999997</v>
      </c>
    </row>
    <row r="192" spans="1:27" x14ac:dyDescent="0.3">
      <c r="A192" s="1">
        <v>8976174</v>
      </c>
      <c r="B192" s="1" t="s">
        <v>402</v>
      </c>
      <c r="C192" s="1" t="s">
        <v>403</v>
      </c>
      <c r="D192" s="1">
        <v>4968413</v>
      </c>
      <c r="E192" s="1">
        <v>0</v>
      </c>
      <c r="F192" s="1" t="s">
        <v>25</v>
      </c>
      <c r="G192" s="1" t="s">
        <v>46</v>
      </c>
      <c r="H192" s="2">
        <v>40440</v>
      </c>
      <c r="I192" s="2" t="s">
        <v>25</v>
      </c>
      <c r="J192" s="2">
        <v>40921</v>
      </c>
      <c r="K192" s="3"/>
      <c r="L192" s="3">
        <v>206680</v>
      </c>
      <c r="M192" s="3">
        <v>206680</v>
      </c>
      <c r="N192" s="1">
        <v>1</v>
      </c>
      <c r="O192" s="1">
        <v>0</v>
      </c>
      <c r="P192" s="1">
        <v>1</v>
      </c>
      <c r="Q192" s="3"/>
      <c r="R192" s="3"/>
      <c r="S192" s="3">
        <v>206680</v>
      </c>
      <c r="T192" s="1">
        <v>1.3178080000000001</v>
      </c>
      <c r="U192" s="3"/>
      <c r="V192" s="3"/>
      <c r="X192" s="1">
        <v>206680</v>
      </c>
      <c r="Y192" s="22">
        <v>1.3178080000000001</v>
      </c>
      <c r="Z192" s="4">
        <f>Table1[[#This Row],[totalTimeKept]]*$AD$3</f>
        <v>19767.120000000003</v>
      </c>
      <c r="AA192" s="4">
        <f>Y192-Z192</f>
        <v>-19765.802192000003</v>
      </c>
    </row>
    <row r="193" spans="1:27" x14ac:dyDescent="0.3">
      <c r="A193" s="1">
        <v>9053532</v>
      </c>
      <c r="B193" s="1" t="s">
        <v>404</v>
      </c>
      <c r="C193" s="1" t="s">
        <v>405</v>
      </c>
      <c r="D193" s="1">
        <v>7413180</v>
      </c>
      <c r="E193" s="1">
        <v>0</v>
      </c>
      <c r="F193" s="1" t="s">
        <v>139</v>
      </c>
      <c r="G193" s="1" t="s">
        <v>24</v>
      </c>
      <c r="H193" s="2">
        <v>40569</v>
      </c>
      <c r="I193" s="2">
        <v>42681</v>
      </c>
      <c r="J193" s="2">
        <v>43777</v>
      </c>
      <c r="K193" s="3">
        <v>385000</v>
      </c>
      <c r="L193" s="3">
        <v>400000</v>
      </c>
      <c r="M193" s="3">
        <v>15000</v>
      </c>
      <c r="N193" s="1">
        <v>0</v>
      </c>
      <c r="O193" s="1">
        <v>1</v>
      </c>
      <c r="P193" s="1">
        <v>1</v>
      </c>
      <c r="Q193" s="3">
        <v>0</v>
      </c>
      <c r="R193" s="3"/>
      <c r="S193" s="3">
        <v>15000</v>
      </c>
      <c r="T193" s="1">
        <v>3.0027400000000002</v>
      </c>
      <c r="U193" s="3"/>
      <c r="V193" s="3"/>
      <c r="X193" s="1">
        <v>15000</v>
      </c>
      <c r="Y193" s="22">
        <v>3.0027400000000002</v>
      </c>
      <c r="Z193" s="4">
        <f>Table1[[#This Row],[totalTimeKept]]*$AD$3</f>
        <v>45041.100000000006</v>
      </c>
      <c r="AA193" s="4">
        <f>Y193-Z193</f>
        <v>-45038.097260000002</v>
      </c>
    </row>
    <row r="194" spans="1:27" x14ac:dyDescent="0.3">
      <c r="A194" s="1">
        <v>9065281</v>
      </c>
      <c r="B194" s="1" t="s">
        <v>406</v>
      </c>
      <c r="C194" s="1" t="s">
        <v>407</v>
      </c>
      <c r="D194" s="1">
        <v>7440202</v>
      </c>
      <c r="E194" s="1">
        <v>0</v>
      </c>
      <c r="F194" s="1" t="s">
        <v>139</v>
      </c>
      <c r="G194" s="1" t="s">
        <v>24</v>
      </c>
      <c r="H194" s="2">
        <v>40590</v>
      </c>
      <c r="I194" s="2">
        <v>42313</v>
      </c>
      <c r="J194" s="2">
        <v>44323</v>
      </c>
      <c r="K194" s="3">
        <v>52000</v>
      </c>
      <c r="L194" s="3">
        <v>78437</v>
      </c>
      <c r="M194" s="3">
        <v>26437</v>
      </c>
      <c r="N194" s="1">
        <v>0</v>
      </c>
      <c r="O194" s="1">
        <v>1</v>
      </c>
      <c r="P194" s="1">
        <v>1</v>
      </c>
      <c r="Q194" s="3">
        <v>72500</v>
      </c>
      <c r="R194" s="3"/>
      <c r="S194" s="3">
        <v>-46063</v>
      </c>
      <c r="T194" s="1">
        <v>5.5068489999999999</v>
      </c>
      <c r="U194" s="3"/>
      <c r="V194" s="3"/>
      <c r="X194" s="1">
        <v>-46063</v>
      </c>
      <c r="Y194" s="22">
        <v>5.5068489999999999</v>
      </c>
      <c r="Z194" s="4">
        <f>Table1[[#This Row],[totalTimeKept]]*$AD$3</f>
        <v>82602.735000000001</v>
      </c>
      <c r="AA194" s="4">
        <f>Y194-Z194</f>
        <v>-82597.228151000003</v>
      </c>
    </row>
    <row r="195" spans="1:27" x14ac:dyDescent="0.3">
      <c r="A195" s="1">
        <v>9068361</v>
      </c>
      <c r="B195" s="1" t="s">
        <v>408</v>
      </c>
      <c r="C195" s="1" t="s">
        <v>346</v>
      </c>
      <c r="D195" s="1">
        <v>7263322</v>
      </c>
      <c r="E195" s="1">
        <v>0</v>
      </c>
      <c r="F195" s="1" t="s">
        <v>25</v>
      </c>
      <c r="G195" s="1" t="s">
        <v>46</v>
      </c>
      <c r="H195" s="2">
        <v>40569</v>
      </c>
      <c r="I195" s="2" t="s">
        <v>25</v>
      </c>
      <c r="J195" s="2">
        <v>40917</v>
      </c>
      <c r="K195" s="3"/>
      <c r="L195" s="3">
        <v>9000</v>
      </c>
      <c r="M195" s="3">
        <v>9000</v>
      </c>
      <c r="N195" s="1">
        <v>1</v>
      </c>
      <c r="O195" s="1">
        <v>0</v>
      </c>
      <c r="P195" s="1">
        <v>1</v>
      </c>
      <c r="Q195" s="3"/>
      <c r="R195" s="3"/>
      <c r="S195" s="3">
        <v>9000</v>
      </c>
      <c r="T195" s="1">
        <v>0.95342459999999996</v>
      </c>
      <c r="U195" s="3"/>
      <c r="V195" s="3"/>
      <c r="X195" s="1">
        <v>9000</v>
      </c>
      <c r="Y195" s="22">
        <v>0.95342459999999996</v>
      </c>
      <c r="Z195" s="4">
        <f>Table1[[#This Row],[totalTimeKept]]*$AD$3</f>
        <v>14301.368999999999</v>
      </c>
      <c r="AA195" s="4">
        <f>Y195-Z195</f>
        <v>-14300.415575399998</v>
      </c>
    </row>
    <row r="196" spans="1:27" x14ac:dyDescent="0.3">
      <c r="A196" s="1">
        <v>9075403</v>
      </c>
      <c r="B196" s="1" t="s">
        <v>409</v>
      </c>
      <c r="C196" s="1" t="s">
        <v>410</v>
      </c>
      <c r="D196" s="1">
        <v>6467710</v>
      </c>
      <c r="E196" s="1">
        <v>0</v>
      </c>
      <c r="F196" s="1" t="s">
        <v>139</v>
      </c>
      <c r="G196" s="1" t="s">
        <v>24</v>
      </c>
      <c r="H196" s="2">
        <v>40605</v>
      </c>
      <c r="I196" s="2">
        <v>41950</v>
      </c>
      <c r="J196" s="2">
        <v>43050</v>
      </c>
      <c r="K196" s="3">
        <v>180000</v>
      </c>
      <c r="L196" s="3">
        <v>200000</v>
      </c>
      <c r="M196" s="3">
        <v>20000</v>
      </c>
      <c r="N196" s="1">
        <v>0</v>
      </c>
      <c r="O196" s="1">
        <v>1</v>
      </c>
      <c r="P196" s="1">
        <v>1</v>
      </c>
      <c r="Q196" s="3">
        <v>145000</v>
      </c>
      <c r="R196" s="3"/>
      <c r="S196" s="3">
        <v>-125000</v>
      </c>
      <c r="T196" s="1">
        <v>3.0136989999999999</v>
      </c>
      <c r="U196" s="3">
        <v>-45935</v>
      </c>
      <c r="V196" s="3">
        <v>0</v>
      </c>
      <c r="W196" s="1">
        <v>1.427397</v>
      </c>
      <c r="X196" s="1">
        <v>-170935</v>
      </c>
      <c r="Y196" s="22">
        <v>4.4410959999999999</v>
      </c>
      <c r="Z196" s="4">
        <f>Table1[[#This Row],[totalTimeKept]]*$AD$3</f>
        <v>66616.44</v>
      </c>
      <c r="AA196" s="4">
        <f>Y196-Z196</f>
        <v>-66611.998904000007</v>
      </c>
    </row>
    <row r="197" spans="1:27" x14ac:dyDescent="0.3">
      <c r="A197" s="1">
        <v>9078926</v>
      </c>
      <c r="B197" s="1" t="s">
        <v>411</v>
      </c>
      <c r="C197" s="1" t="s">
        <v>412</v>
      </c>
      <c r="D197" s="1">
        <v>6101266</v>
      </c>
      <c r="E197" s="1">
        <v>88050</v>
      </c>
      <c r="F197" s="1" t="s">
        <v>25</v>
      </c>
      <c r="G197" s="1" t="s">
        <v>25</v>
      </c>
      <c r="H197" s="2">
        <v>40597</v>
      </c>
      <c r="I197" s="2" t="s">
        <v>25</v>
      </c>
      <c r="J197" s="1" t="s">
        <v>25</v>
      </c>
      <c r="K197" s="3"/>
      <c r="L197" s="3"/>
      <c r="M197" s="3">
        <v>0</v>
      </c>
      <c r="N197" s="1">
        <v>1</v>
      </c>
      <c r="P197" s="1">
        <v>0</v>
      </c>
      <c r="Q197" s="3"/>
      <c r="R197" s="3"/>
      <c r="S197" s="3">
        <v>88050</v>
      </c>
      <c r="T197" s="1">
        <v>13.99452</v>
      </c>
      <c r="U197" s="3"/>
      <c r="V197" s="3"/>
      <c r="X197" s="1">
        <v>88050</v>
      </c>
      <c r="Y197" s="22">
        <v>13.99452</v>
      </c>
      <c r="Z197" s="4">
        <f>Table1[[#This Row],[totalTimeKept]]*$AD$3</f>
        <v>209917.8</v>
      </c>
      <c r="AA197" s="4">
        <f>Y197-Z197</f>
        <v>-209903.80547999998</v>
      </c>
    </row>
    <row r="198" spans="1:27" x14ac:dyDescent="0.3">
      <c r="A198" s="1">
        <v>9081239</v>
      </c>
      <c r="B198" s="1" t="s">
        <v>413</v>
      </c>
      <c r="C198" s="1" t="s">
        <v>277</v>
      </c>
      <c r="D198" s="1">
        <v>1268482</v>
      </c>
      <c r="E198" s="1">
        <v>0</v>
      </c>
      <c r="F198" s="1" t="s">
        <v>292</v>
      </c>
      <c r="G198" s="1" t="s">
        <v>24</v>
      </c>
      <c r="H198" s="2">
        <v>40245</v>
      </c>
      <c r="I198" s="2">
        <v>41041</v>
      </c>
      <c r="J198" s="2">
        <v>41616</v>
      </c>
      <c r="K198" s="3">
        <v>45210</v>
      </c>
      <c r="L198" s="3">
        <v>6853</v>
      </c>
      <c r="M198" s="3">
        <v>-38357</v>
      </c>
      <c r="N198" s="1">
        <v>0</v>
      </c>
      <c r="O198" s="1">
        <v>1</v>
      </c>
      <c r="P198" s="1">
        <v>1</v>
      </c>
      <c r="Q198" s="3"/>
      <c r="R198" s="3"/>
      <c r="S198" s="3">
        <v>-38357</v>
      </c>
      <c r="T198" s="1">
        <v>1.575342</v>
      </c>
      <c r="U198" s="3"/>
      <c r="V198" s="3"/>
      <c r="X198" s="1">
        <v>-38357</v>
      </c>
      <c r="Y198" s="22">
        <v>1.575342</v>
      </c>
      <c r="Z198" s="4">
        <f>Table1[[#This Row],[totalTimeKept]]*$AD$3</f>
        <v>23630.13</v>
      </c>
      <c r="AA198" s="4">
        <f>Y198-Z198</f>
        <v>-23628.554658000001</v>
      </c>
    </row>
    <row r="199" spans="1:27" x14ac:dyDescent="0.3">
      <c r="A199" s="1">
        <v>9081758</v>
      </c>
      <c r="B199" s="1" t="s">
        <v>414</v>
      </c>
      <c r="C199" s="1" t="s">
        <v>53</v>
      </c>
      <c r="D199" s="1">
        <v>4530465</v>
      </c>
      <c r="E199" s="1">
        <v>0</v>
      </c>
      <c r="F199" s="1" t="s">
        <v>25</v>
      </c>
      <c r="G199" s="1" t="s">
        <v>349</v>
      </c>
      <c r="H199" s="2">
        <v>40582</v>
      </c>
      <c r="I199" s="1" t="s">
        <v>25</v>
      </c>
      <c r="J199" s="2">
        <v>40857</v>
      </c>
      <c r="K199" s="3"/>
      <c r="L199" s="3">
        <v>85000</v>
      </c>
      <c r="M199" s="3">
        <v>85000</v>
      </c>
      <c r="N199" s="1">
        <v>1</v>
      </c>
      <c r="O199" s="1">
        <v>0</v>
      </c>
      <c r="P199" s="1">
        <v>1</v>
      </c>
      <c r="Q199" s="3"/>
      <c r="R199" s="3"/>
      <c r="S199" s="3">
        <v>85000</v>
      </c>
      <c r="T199" s="1">
        <v>0.7534246</v>
      </c>
      <c r="U199" s="3"/>
      <c r="V199" s="3"/>
      <c r="X199" s="1">
        <v>85000</v>
      </c>
      <c r="Y199" s="22">
        <v>0.7534246</v>
      </c>
      <c r="Z199" s="4">
        <f>Table1[[#This Row],[totalTimeKept]]*$AD$3</f>
        <v>11301.369000000001</v>
      </c>
      <c r="AA199" s="4">
        <f>Y199-Z199</f>
        <v>-11300.615575400001</v>
      </c>
    </row>
    <row r="200" spans="1:27" x14ac:dyDescent="0.3">
      <c r="A200" s="1">
        <v>9081834</v>
      </c>
      <c r="B200" s="1" t="s">
        <v>415</v>
      </c>
      <c r="C200" s="1" t="s">
        <v>61</v>
      </c>
      <c r="D200" s="1">
        <v>4830628</v>
      </c>
      <c r="E200" s="1">
        <v>0</v>
      </c>
      <c r="F200" s="1" t="s">
        <v>25</v>
      </c>
      <c r="G200" s="1" t="s">
        <v>46</v>
      </c>
      <c r="H200" s="2">
        <v>40597</v>
      </c>
      <c r="I200" s="1" t="s">
        <v>25</v>
      </c>
      <c r="J200" s="2">
        <v>41099</v>
      </c>
      <c r="K200" s="3"/>
      <c r="L200" s="3">
        <v>251053</v>
      </c>
      <c r="M200" s="3">
        <v>251053</v>
      </c>
      <c r="N200" s="1">
        <v>1</v>
      </c>
      <c r="O200" s="1">
        <v>0</v>
      </c>
      <c r="P200" s="1">
        <v>1</v>
      </c>
      <c r="Q200" s="3"/>
      <c r="R200" s="3"/>
      <c r="S200" s="3">
        <v>251053</v>
      </c>
      <c r="T200" s="1">
        <v>1.3753420000000001</v>
      </c>
      <c r="U200" s="3"/>
      <c r="V200" s="3"/>
      <c r="X200" s="1">
        <v>251053</v>
      </c>
      <c r="Y200" s="22">
        <v>1.3753420000000001</v>
      </c>
      <c r="Z200" s="4">
        <f>Table1[[#This Row],[totalTimeKept]]*$AD$3</f>
        <v>20630.13</v>
      </c>
      <c r="AA200" s="4">
        <f>Y200-Z200</f>
        <v>-20628.754658000002</v>
      </c>
    </row>
    <row r="201" spans="1:27" x14ac:dyDescent="0.3">
      <c r="A201" s="1">
        <v>9085068</v>
      </c>
      <c r="B201" s="1" t="s">
        <v>416</v>
      </c>
      <c r="C201" s="1" t="s">
        <v>417</v>
      </c>
      <c r="D201" s="1">
        <v>7471679</v>
      </c>
      <c r="E201" s="1">
        <v>0</v>
      </c>
      <c r="F201" s="1" t="s">
        <v>25</v>
      </c>
      <c r="G201" s="1" t="s">
        <v>46</v>
      </c>
      <c r="H201" s="2">
        <v>40599</v>
      </c>
      <c r="I201" s="1" t="s">
        <v>25</v>
      </c>
      <c r="J201" s="2">
        <v>41165</v>
      </c>
      <c r="K201" s="3"/>
      <c r="L201" s="3">
        <v>150000</v>
      </c>
      <c r="M201" s="3">
        <v>150000</v>
      </c>
      <c r="N201" s="1">
        <v>1</v>
      </c>
      <c r="O201" s="1">
        <v>0</v>
      </c>
      <c r="P201" s="1">
        <v>1</v>
      </c>
      <c r="Q201" s="3"/>
      <c r="R201" s="3"/>
      <c r="S201" s="3">
        <v>150000</v>
      </c>
      <c r="T201" s="1">
        <v>1.5506850000000001</v>
      </c>
      <c r="U201" s="3"/>
      <c r="V201" s="3"/>
      <c r="X201" s="1">
        <v>150000</v>
      </c>
      <c r="Y201" s="22">
        <v>1.5506850000000001</v>
      </c>
      <c r="Z201" s="4">
        <f>Table1[[#This Row],[totalTimeKept]]*$AD$3</f>
        <v>23260.275000000001</v>
      </c>
      <c r="AA201" s="4">
        <f>Y201-Z201</f>
        <v>-23258.724315000003</v>
      </c>
    </row>
    <row r="202" spans="1:27" x14ac:dyDescent="0.3">
      <c r="A202" s="1">
        <v>9088288</v>
      </c>
      <c r="B202" s="1" t="s">
        <v>418</v>
      </c>
      <c r="C202" s="1" t="s">
        <v>419</v>
      </c>
      <c r="D202" s="1">
        <v>7726363</v>
      </c>
      <c r="E202" s="1">
        <v>0</v>
      </c>
      <c r="F202" s="1" t="s">
        <v>139</v>
      </c>
      <c r="G202" s="1" t="s">
        <v>24</v>
      </c>
      <c r="H202" s="2">
        <v>40622</v>
      </c>
      <c r="I202" s="2">
        <v>42312</v>
      </c>
      <c r="J202" s="2">
        <v>43411</v>
      </c>
      <c r="K202" s="3">
        <v>135000</v>
      </c>
      <c r="L202" s="3">
        <v>170000</v>
      </c>
      <c r="M202" s="3">
        <v>35000</v>
      </c>
      <c r="N202" s="1">
        <v>0</v>
      </c>
      <c r="O202" s="1">
        <v>1</v>
      </c>
      <c r="P202" s="1">
        <v>1</v>
      </c>
      <c r="Q202" s="3">
        <v>40000</v>
      </c>
      <c r="R202" s="3"/>
      <c r="S202" s="3">
        <v>-5000</v>
      </c>
      <c r="T202" s="1">
        <v>3.0109590000000002</v>
      </c>
      <c r="U202" s="3">
        <v>390000</v>
      </c>
      <c r="V202" s="3">
        <v>0</v>
      </c>
      <c r="W202" s="1">
        <v>2.3753419999999998</v>
      </c>
      <c r="X202" s="1">
        <v>385000</v>
      </c>
      <c r="Y202" s="22">
        <v>5.3863019999999997</v>
      </c>
      <c r="Z202" s="4">
        <f>Table1[[#This Row],[totalTimeKept]]*$AD$3</f>
        <v>80794.53</v>
      </c>
      <c r="AA202" s="4">
        <f>Y202-Z202</f>
        <v>-80789.143698</v>
      </c>
    </row>
    <row r="203" spans="1:27" x14ac:dyDescent="0.3">
      <c r="A203" s="1">
        <v>9095371</v>
      </c>
      <c r="B203" s="1" t="s">
        <v>420</v>
      </c>
      <c r="C203" s="1" t="s">
        <v>421</v>
      </c>
      <c r="D203" s="1">
        <v>5204115</v>
      </c>
      <c r="E203" s="1">
        <v>0</v>
      </c>
      <c r="F203" s="1" t="s">
        <v>139</v>
      </c>
      <c r="G203" s="1" t="s">
        <v>24</v>
      </c>
      <c r="H203" s="2">
        <v>40638</v>
      </c>
      <c r="I203" s="2">
        <v>41946</v>
      </c>
      <c r="J203" s="2">
        <v>42682</v>
      </c>
      <c r="K203" s="3">
        <v>200000</v>
      </c>
      <c r="L203" s="3">
        <v>400000</v>
      </c>
      <c r="M203" s="3">
        <v>200000</v>
      </c>
      <c r="N203" s="1">
        <v>0</v>
      </c>
      <c r="O203" s="1">
        <v>1</v>
      </c>
      <c r="P203" s="1">
        <v>1</v>
      </c>
      <c r="Q203" s="3">
        <v>15000</v>
      </c>
      <c r="R203" s="3"/>
      <c r="S203" s="3">
        <v>185000</v>
      </c>
      <c r="T203" s="1">
        <v>2.016438</v>
      </c>
      <c r="U203" s="3"/>
      <c r="V203" s="3"/>
      <c r="X203" s="1">
        <v>185000</v>
      </c>
      <c r="Y203" s="22">
        <v>2.016438</v>
      </c>
      <c r="Z203" s="4">
        <f>Table1[[#This Row],[totalTimeKept]]*$AD$3</f>
        <v>30246.57</v>
      </c>
      <c r="AA203" s="4">
        <f>Y203-Z203</f>
        <v>-30244.553562000001</v>
      </c>
    </row>
    <row r="204" spans="1:27" x14ac:dyDescent="0.3">
      <c r="A204" s="1">
        <v>9096510</v>
      </c>
      <c r="B204" s="1" t="s">
        <v>422</v>
      </c>
      <c r="C204" s="1" t="s">
        <v>423</v>
      </c>
      <c r="D204" s="1">
        <v>6917569</v>
      </c>
      <c r="E204" s="1">
        <v>0</v>
      </c>
      <c r="F204" s="1" t="s">
        <v>24</v>
      </c>
      <c r="G204" s="1" t="s">
        <v>25</v>
      </c>
      <c r="H204" s="2">
        <v>40638</v>
      </c>
      <c r="I204" s="2">
        <v>44145</v>
      </c>
      <c r="J204" s="2" t="s">
        <v>25</v>
      </c>
      <c r="K204" s="3">
        <v>90000</v>
      </c>
      <c r="L204" s="3"/>
      <c r="M204" s="3">
        <v>-90000</v>
      </c>
      <c r="N204" s="1">
        <v>0</v>
      </c>
      <c r="O204" s="1">
        <v>1</v>
      </c>
      <c r="P204" s="1">
        <v>0</v>
      </c>
      <c r="Q204" s="3">
        <v>385000</v>
      </c>
      <c r="R204" s="3"/>
      <c r="S204" s="3">
        <v>-475000</v>
      </c>
      <c r="T204" s="1">
        <v>4.2739729999999998</v>
      </c>
      <c r="U204" s="3">
        <v>360000</v>
      </c>
      <c r="V204" s="3">
        <v>0</v>
      </c>
      <c r="W204" s="1">
        <v>1.372603</v>
      </c>
      <c r="X204" s="1">
        <v>-115000</v>
      </c>
      <c r="Y204" s="22">
        <v>5.6465750000000003</v>
      </c>
      <c r="Z204" s="4">
        <f>Table1[[#This Row],[totalTimeKept]]*$AD$3</f>
        <v>84698.625</v>
      </c>
      <c r="AA204" s="4">
        <f>Y204-Z204</f>
        <v>-84692.978424999994</v>
      </c>
    </row>
    <row r="205" spans="1:27" x14ac:dyDescent="0.3">
      <c r="A205" s="1">
        <v>9103805</v>
      </c>
      <c r="B205" s="1" t="s">
        <v>424</v>
      </c>
      <c r="C205" s="1" t="s">
        <v>425</v>
      </c>
      <c r="D205" s="1">
        <v>4008562</v>
      </c>
      <c r="E205" s="1">
        <v>326100</v>
      </c>
      <c r="F205" s="1" t="s">
        <v>139</v>
      </c>
      <c r="G205" s="1" t="s">
        <v>25</v>
      </c>
      <c r="H205" s="2">
        <v>40646</v>
      </c>
      <c r="I205" s="2">
        <v>41946</v>
      </c>
      <c r="J205" s="2" t="s">
        <v>25</v>
      </c>
      <c r="K205" s="3">
        <v>1000000</v>
      </c>
      <c r="L205" s="3"/>
      <c r="M205" s="3">
        <v>-1000000</v>
      </c>
      <c r="N205" s="1">
        <v>0</v>
      </c>
      <c r="O205" s="1">
        <v>1</v>
      </c>
      <c r="P205" s="1">
        <v>0</v>
      </c>
      <c r="Q205" s="3">
        <v>1485000</v>
      </c>
      <c r="R205" s="3"/>
      <c r="S205" s="3">
        <v>-2158900</v>
      </c>
      <c r="T205" s="1">
        <v>10.298629999999999</v>
      </c>
      <c r="U205" s="3">
        <v>1397450</v>
      </c>
      <c r="V205" s="3">
        <v>0</v>
      </c>
      <c r="W205" s="1">
        <v>8.6657530000000005</v>
      </c>
      <c r="X205" s="1">
        <v>-761450</v>
      </c>
      <c r="Y205" s="22">
        <v>18.964379999999998</v>
      </c>
      <c r="Z205" s="4">
        <f>Table1[[#This Row],[totalTimeKept]]*$AD$3</f>
        <v>284465.69999999995</v>
      </c>
      <c r="AA205" s="4">
        <f>Y205-Z205</f>
        <v>-284446.73561999993</v>
      </c>
    </row>
    <row r="206" spans="1:27" x14ac:dyDescent="0.3">
      <c r="A206" s="1">
        <v>9106714</v>
      </c>
      <c r="B206" s="1" t="s">
        <v>426</v>
      </c>
      <c r="C206" s="1" t="s">
        <v>427</v>
      </c>
      <c r="D206" s="1">
        <v>4307596</v>
      </c>
      <c r="E206" s="1">
        <v>0</v>
      </c>
      <c r="F206" s="1" t="s">
        <v>139</v>
      </c>
      <c r="G206" s="1" t="s">
        <v>24</v>
      </c>
      <c r="H206" s="2">
        <v>40648</v>
      </c>
      <c r="I206" s="2">
        <v>42683</v>
      </c>
      <c r="J206" s="2">
        <v>43408</v>
      </c>
      <c r="K206" s="3">
        <v>425000</v>
      </c>
      <c r="L206" s="3">
        <v>825000</v>
      </c>
      <c r="M206" s="3">
        <v>400000</v>
      </c>
      <c r="N206" s="1">
        <v>0</v>
      </c>
      <c r="O206" s="1">
        <v>1</v>
      </c>
      <c r="P206" s="1">
        <v>1</v>
      </c>
      <c r="Q206" s="3">
        <v>30000</v>
      </c>
      <c r="R206" s="3"/>
      <c r="S206" s="3">
        <v>370000</v>
      </c>
      <c r="T206" s="1">
        <v>1.9863010000000001</v>
      </c>
      <c r="U206" s="3"/>
      <c r="V206" s="3"/>
      <c r="X206" s="1">
        <v>370000</v>
      </c>
      <c r="Y206" s="22">
        <v>1.9863010000000001</v>
      </c>
      <c r="Z206" s="4">
        <f>Table1[[#This Row],[totalTimeKept]]*$AD$3</f>
        <v>29794.515000000003</v>
      </c>
      <c r="AA206" s="4">
        <f>Y206-Z206</f>
        <v>-29792.528699000002</v>
      </c>
    </row>
    <row r="207" spans="1:27" x14ac:dyDescent="0.3">
      <c r="A207" s="1">
        <v>9111587</v>
      </c>
      <c r="B207" s="1" t="s">
        <v>428</v>
      </c>
      <c r="C207" s="1" t="s">
        <v>429</v>
      </c>
      <c r="D207" s="1">
        <v>1312450</v>
      </c>
      <c r="E207" s="1">
        <v>0</v>
      </c>
      <c r="F207" s="1" t="s">
        <v>24</v>
      </c>
      <c r="G207" s="1" t="s">
        <v>25</v>
      </c>
      <c r="H207" s="2">
        <v>40656</v>
      </c>
      <c r="I207" s="2">
        <v>45602</v>
      </c>
      <c r="J207" s="2" t="s">
        <v>25</v>
      </c>
      <c r="K207" s="3">
        <v>75000</v>
      </c>
      <c r="L207" s="3"/>
      <c r="M207" s="3">
        <v>-75000</v>
      </c>
      <c r="N207" s="1">
        <v>0</v>
      </c>
      <c r="O207" s="1">
        <v>1</v>
      </c>
      <c r="P207" s="1">
        <v>0</v>
      </c>
      <c r="Q207" s="3">
        <v>0</v>
      </c>
      <c r="R207" s="3"/>
      <c r="S207" s="3">
        <v>-75000</v>
      </c>
      <c r="T207" s="1">
        <v>0.28219179999999999</v>
      </c>
      <c r="U207" s="3"/>
      <c r="V207" s="3"/>
      <c r="X207" s="1">
        <v>-75000</v>
      </c>
      <c r="Y207" s="22">
        <v>0.28219179999999999</v>
      </c>
      <c r="Z207" s="4">
        <f>Table1[[#This Row],[totalTimeKept]]*$AD$3</f>
        <v>4232.8769999999995</v>
      </c>
      <c r="AA207" s="4">
        <f>Y207-Z207</f>
        <v>-4232.5948081999995</v>
      </c>
    </row>
    <row r="208" spans="1:27" x14ac:dyDescent="0.3">
      <c r="A208" s="1">
        <v>9112123</v>
      </c>
      <c r="B208" s="1" t="s">
        <v>430</v>
      </c>
      <c r="C208" s="1" t="s">
        <v>34</v>
      </c>
      <c r="D208" s="1">
        <v>4035517</v>
      </c>
      <c r="E208" s="1">
        <v>0</v>
      </c>
      <c r="F208" s="1" t="s">
        <v>25</v>
      </c>
      <c r="G208" s="1" t="s">
        <v>46</v>
      </c>
      <c r="H208" s="2">
        <v>40647</v>
      </c>
      <c r="I208" s="1" t="s">
        <v>25</v>
      </c>
      <c r="J208" s="2">
        <v>41165</v>
      </c>
      <c r="K208" s="3"/>
      <c r="L208" s="3">
        <v>510000</v>
      </c>
      <c r="M208" s="3">
        <v>510000</v>
      </c>
      <c r="N208" s="1">
        <v>1</v>
      </c>
      <c r="O208" s="1">
        <v>0</v>
      </c>
      <c r="P208" s="1">
        <v>1</v>
      </c>
      <c r="Q208" s="3"/>
      <c r="R208" s="3"/>
      <c r="S208" s="3">
        <v>510000</v>
      </c>
      <c r="T208" s="1">
        <v>1.4191780000000001</v>
      </c>
      <c r="U208" s="3"/>
      <c r="V208" s="3"/>
      <c r="X208" s="1">
        <v>510000</v>
      </c>
      <c r="Y208" s="22">
        <v>1.4191780000000001</v>
      </c>
      <c r="Z208" s="4">
        <f>Table1[[#This Row],[totalTimeKept]]*$AD$3</f>
        <v>21287.670000000002</v>
      </c>
      <c r="AA208" s="4">
        <f>Y208-Z208</f>
        <v>-21286.250822000002</v>
      </c>
    </row>
    <row r="209" spans="1:27" x14ac:dyDescent="0.3">
      <c r="A209" s="1">
        <v>9112126</v>
      </c>
      <c r="B209" s="1" t="s">
        <v>431</v>
      </c>
      <c r="C209" s="1" t="s">
        <v>432</v>
      </c>
      <c r="D209" s="1">
        <v>7714380</v>
      </c>
      <c r="E209" s="1">
        <v>0</v>
      </c>
      <c r="F209" s="1" t="s">
        <v>25</v>
      </c>
      <c r="G209" s="1" t="s">
        <v>46</v>
      </c>
      <c r="H209" s="2">
        <v>40650</v>
      </c>
      <c r="I209" s="1" t="s">
        <v>25</v>
      </c>
      <c r="J209" s="2">
        <v>41128</v>
      </c>
      <c r="K209" s="3"/>
      <c r="L209" s="3">
        <v>250000</v>
      </c>
      <c r="M209" s="3">
        <v>250000</v>
      </c>
      <c r="N209" s="1">
        <v>1</v>
      </c>
      <c r="O209" s="1">
        <v>0</v>
      </c>
      <c r="P209" s="1">
        <v>1</v>
      </c>
      <c r="Q209" s="3"/>
      <c r="R209" s="3"/>
      <c r="S209" s="3">
        <v>250000</v>
      </c>
      <c r="T209" s="1">
        <v>1.3095889999999999</v>
      </c>
      <c r="U209" s="3"/>
      <c r="V209" s="3"/>
      <c r="X209" s="1">
        <v>250000</v>
      </c>
      <c r="Y209" s="22">
        <v>1.3095889999999999</v>
      </c>
      <c r="Z209" s="4">
        <f>Table1[[#This Row],[totalTimeKept]]*$AD$3</f>
        <v>19643.834999999999</v>
      </c>
      <c r="AA209" s="4">
        <f>Y209-Z209</f>
        <v>-19642.525410999999</v>
      </c>
    </row>
    <row r="210" spans="1:27" x14ac:dyDescent="0.3">
      <c r="A210" s="1">
        <v>9112133</v>
      </c>
      <c r="B210" s="1" t="s">
        <v>433</v>
      </c>
      <c r="C210" s="1" t="s">
        <v>355</v>
      </c>
      <c r="D210" s="1">
        <v>6907524</v>
      </c>
      <c r="E210" s="1">
        <v>0</v>
      </c>
      <c r="F210" s="1" t="s">
        <v>25</v>
      </c>
      <c r="G210" s="1" t="s">
        <v>46</v>
      </c>
      <c r="H210" s="2">
        <v>40654</v>
      </c>
      <c r="I210" s="1" t="s">
        <v>25</v>
      </c>
      <c r="J210" s="2">
        <v>41165</v>
      </c>
      <c r="K210" s="3"/>
      <c r="L210" s="3">
        <v>250000</v>
      </c>
      <c r="M210" s="3">
        <v>250000</v>
      </c>
      <c r="N210" s="1">
        <v>1</v>
      </c>
      <c r="O210" s="1">
        <v>0</v>
      </c>
      <c r="P210" s="1">
        <v>1</v>
      </c>
      <c r="Q210" s="3"/>
      <c r="R210" s="3"/>
      <c r="S210" s="3">
        <v>250000</v>
      </c>
      <c r="T210" s="1">
        <v>1.4</v>
      </c>
      <c r="U210" s="3"/>
      <c r="V210" s="3"/>
      <c r="X210" s="1">
        <v>250000</v>
      </c>
      <c r="Y210" s="22">
        <v>1.4</v>
      </c>
      <c r="Z210" s="4">
        <f>Table1[[#This Row],[totalTimeKept]]*$AD$3</f>
        <v>21000</v>
      </c>
      <c r="AA210" s="4">
        <f>Y210-Z210</f>
        <v>-20998.6</v>
      </c>
    </row>
    <row r="211" spans="1:27" x14ac:dyDescent="0.3">
      <c r="A211" s="1">
        <v>9112134</v>
      </c>
      <c r="B211" s="1" t="s">
        <v>434</v>
      </c>
      <c r="C211" s="1" t="s">
        <v>435</v>
      </c>
      <c r="D211" s="1">
        <v>7467646</v>
      </c>
      <c r="E211" s="1">
        <v>0</v>
      </c>
      <c r="F211" s="1" t="s">
        <v>25</v>
      </c>
      <c r="G211" s="1" t="s">
        <v>46</v>
      </c>
      <c r="H211" s="2">
        <v>40656</v>
      </c>
      <c r="I211" s="1" t="s">
        <v>25</v>
      </c>
      <c r="J211" s="2">
        <v>41166</v>
      </c>
      <c r="K211" s="3"/>
      <c r="L211" s="3">
        <v>300000</v>
      </c>
      <c r="M211" s="3">
        <v>300000</v>
      </c>
      <c r="N211" s="1">
        <v>1</v>
      </c>
      <c r="O211" s="1">
        <v>0</v>
      </c>
      <c r="P211" s="1">
        <v>1</v>
      </c>
      <c r="Q211" s="3"/>
      <c r="R211" s="3"/>
      <c r="S211" s="3">
        <v>300000</v>
      </c>
      <c r="T211" s="1">
        <v>1.3972599999999999</v>
      </c>
      <c r="U211" s="3"/>
      <c r="V211" s="3"/>
      <c r="X211" s="1">
        <v>300000</v>
      </c>
      <c r="Y211" s="22">
        <v>1.3972599999999999</v>
      </c>
      <c r="Z211" s="4">
        <f>Table1[[#This Row],[totalTimeKept]]*$AD$3</f>
        <v>20958.899999999998</v>
      </c>
      <c r="AA211" s="4">
        <f>Y211-Z211</f>
        <v>-20957.502739999996</v>
      </c>
    </row>
    <row r="212" spans="1:27" x14ac:dyDescent="0.3">
      <c r="A212" s="1">
        <v>9121231</v>
      </c>
      <c r="B212" s="1" t="s">
        <v>436</v>
      </c>
      <c r="C212" s="1" t="s">
        <v>437</v>
      </c>
      <c r="D212" s="1">
        <v>7136482</v>
      </c>
      <c r="E212" s="1">
        <v>0</v>
      </c>
      <c r="F212" s="1" t="s">
        <v>25</v>
      </c>
      <c r="G212" s="1" t="s">
        <v>46</v>
      </c>
      <c r="H212" s="2">
        <v>40625</v>
      </c>
      <c r="I212" s="1" t="s">
        <v>25</v>
      </c>
      <c r="J212" s="2">
        <v>41166</v>
      </c>
      <c r="K212" s="3"/>
      <c r="L212" s="3">
        <v>20000</v>
      </c>
      <c r="M212" s="3">
        <v>20000</v>
      </c>
      <c r="N212" s="1">
        <v>1</v>
      </c>
      <c r="O212" s="1">
        <v>0</v>
      </c>
      <c r="P212" s="1">
        <v>1</v>
      </c>
      <c r="Q212" s="3"/>
      <c r="R212" s="3"/>
      <c r="S212" s="3">
        <v>20000</v>
      </c>
      <c r="T212" s="1">
        <v>1.482192</v>
      </c>
      <c r="U212" s="3"/>
      <c r="V212" s="3"/>
      <c r="X212" s="1">
        <v>20000</v>
      </c>
      <c r="Y212" s="22">
        <v>1.482192</v>
      </c>
      <c r="Z212" s="4">
        <f>Table1[[#This Row],[totalTimeKept]]*$AD$3</f>
        <v>22232.880000000001</v>
      </c>
      <c r="AA212" s="4">
        <f>Y212-Z212</f>
        <v>-22231.397808000002</v>
      </c>
    </row>
    <row r="213" spans="1:27" x14ac:dyDescent="0.3">
      <c r="A213" s="1">
        <v>9121318</v>
      </c>
      <c r="B213" s="1" t="s">
        <v>438</v>
      </c>
      <c r="C213" s="1" t="s">
        <v>38</v>
      </c>
      <c r="D213" s="1">
        <v>4057138</v>
      </c>
      <c r="E213" s="1">
        <v>0</v>
      </c>
      <c r="F213" s="1" t="s">
        <v>25</v>
      </c>
      <c r="G213" s="1" t="s">
        <v>46</v>
      </c>
      <c r="H213" s="2">
        <v>40660</v>
      </c>
      <c r="I213" s="1" t="s">
        <v>25</v>
      </c>
      <c r="J213" s="2">
        <v>41164</v>
      </c>
      <c r="K213" s="3"/>
      <c r="L213" s="3">
        <v>160000</v>
      </c>
      <c r="M213" s="3">
        <v>160000</v>
      </c>
      <c r="N213" s="1">
        <v>1</v>
      </c>
      <c r="O213" s="1">
        <v>0</v>
      </c>
      <c r="P213" s="1">
        <v>1</v>
      </c>
      <c r="Q213" s="3"/>
      <c r="R213" s="3"/>
      <c r="S213" s="3">
        <v>160000</v>
      </c>
      <c r="T213" s="1">
        <v>1.380822</v>
      </c>
      <c r="U213" s="3"/>
      <c r="V213" s="3"/>
      <c r="X213" s="1">
        <v>160000</v>
      </c>
      <c r="Y213" s="22">
        <v>1.380822</v>
      </c>
      <c r="Z213" s="4">
        <f>Table1[[#This Row],[totalTimeKept]]*$AD$3</f>
        <v>20712.329999999998</v>
      </c>
      <c r="AA213" s="4">
        <f>Y213-Z213</f>
        <v>-20710.949177999999</v>
      </c>
    </row>
    <row r="214" spans="1:27" x14ac:dyDescent="0.3">
      <c r="A214" s="1">
        <v>9126635</v>
      </c>
      <c r="B214" s="1" t="s">
        <v>439</v>
      </c>
      <c r="C214" s="1" t="s">
        <v>440</v>
      </c>
      <c r="D214" s="1">
        <v>1452045</v>
      </c>
      <c r="E214" s="1">
        <v>0</v>
      </c>
      <c r="F214" s="1" t="s">
        <v>25</v>
      </c>
      <c r="G214" s="1" t="s">
        <v>25</v>
      </c>
      <c r="H214" s="2">
        <v>40671</v>
      </c>
      <c r="I214" s="1" t="s">
        <v>25</v>
      </c>
      <c r="J214" s="2" t="s">
        <v>25</v>
      </c>
      <c r="K214" s="3"/>
      <c r="L214" s="3"/>
      <c r="M214" s="3">
        <v>0</v>
      </c>
      <c r="N214" s="1">
        <v>1</v>
      </c>
      <c r="P214" s="1">
        <v>0</v>
      </c>
      <c r="Q214" s="3"/>
      <c r="R214" s="3"/>
      <c r="S214" s="3">
        <v>0</v>
      </c>
      <c r="T214" s="1">
        <v>13.791779999999999</v>
      </c>
      <c r="U214" s="3"/>
      <c r="V214" s="3"/>
      <c r="X214" s="1">
        <v>0</v>
      </c>
      <c r="Y214" s="22">
        <v>13.791779999999999</v>
      </c>
      <c r="Z214" s="4">
        <f>Table1[[#This Row],[totalTimeKept]]*$AD$3</f>
        <v>206876.69999999998</v>
      </c>
      <c r="AA214" s="4">
        <f>Y214-Z214</f>
        <v>-206862.90821999998</v>
      </c>
    </row>
    <row r="215" spans="1:27" x14ac:dyDescent="0.3">
      <c r="A215" s="1">
        <v>9130656</v>
      </c>
      <c r="B215" s="1" t="s">
        <v>441</v>
      </c>
      <c r="C215" s="1" t="s">
        <v>442</v>
      </c>
      <c r="D215" s="1">
        <v>6905385</v>
      </c>
      <c r="E215" s="1">
        <v>0</v>
      </c>
      <c r="F215" s="1" t="s">
        <v>24</v>
      </c>
      <c r="G215" s="1" t="s">
        <v>25</v>
      </c>
      <c r="H215" s="2">
        <v>40660</v>
      </c>
      <c r="I215" s="2">
        <v>42683</v>
      </c>
      <c r="J215" s="2" t="s">
        <v>25</v>
      </c>
      <c r="K215" s="3">
        <v>450000</v>
      </c>
      <c r="L215" s="3"/>
      <c r="M215" s="3">
        <v>-450000</v>
      </c>
      <c r="N215" s="1">
        <v>0</v>
      </c>
      <c r="O215" s="1">
        <v>1</v>
      </c>
      <c r="P215" s="1">
        <v>0</v>
      </c>
      <c r="Q215" s="3">
        <v>0</v>
      </c>
      <c r="R215" s="3"/>
      <c r="S215" s="3">
        <v>-450000</v>
      </c>
      <c r="T215" s="1">
        <v>8.2794519999999991</v>
      </c>
      <c r="U215" s="3"/>
      <c r="V215" s="3"/>
      <c r="X215" s="1">
        <v>-450000</v>
      </c>
      <c r="Y215" s="22">
        <v>8.2794519999999991</v>
      </c>
      <c r="Z215" s="4">
        <f>Table1[[#This Row],[totalTimeKept]]*$AD$3</f>
        <v>124191.77999999998</v>
      </c>
      <c r="AA215" s="4">
        <f>Y215-Z215</f>
        <v>-124183.50054799998</v>
      </c>
    </row>
    <row r="216" spans="1:27" x14ac:dyDescent="0.3">
      <c r="A216" s="1">
        <v>9131686</v>
      </c>
      <c r="B216" s="1" t="s">
        <v>443</v>
      </c>
      <c r="C216" s="1" t="s">
        <v>444</v>
      </c>
      <c r="D216" s="1">
        <v>6164396</v>
      </c>
      <c r="E216" s="1">
        <v>0</v>
      </c>
      <c r="F216" s="1" t="s">
        <v>139</v>
      </c>
      <c r="G216" s="1" t="s">
        <v>25</v>
      </c>
      <c r="H216" s="2">
        <v>40639</v>
      </c>
      <c r="I216" s="2">
        <v>42310</v>
      </c>
      <c r="J216" s="2" t="s">
        <v>25</v>
      </c>
      <c r="K216" s="3">
        <v>350000</v>
      </c>
      <c r="L216" s="3"/>
      <c r="M216" s="3">
        <v>-350000</v>
      </c>
      <c r="N216" s="1">
        <v>0</v>
      </c>
      <c r="O216" s="1">
        <v>1</v>
      </c>
      <c r="P216" s="1">
        <v>0</v>
      </c>
      <c r="Q216" s="3">
        <v>260425.9</v>
      </c>
      <c r="R216" s="3"/>
      <c r="S216" s="3">
        <v>-610425.9</v>
      </c>
      <c r="T216" s="1">
        <v>9.3013700000000004</v>
      </c>
      <c r="U216" s="3">
        <v>125000</v>
      </c>
      <c r="V216" s="3">
        <v>0</v>
      </c>
      <c r="W216" s="1">
        <v>0.78630140000000004</v>
      </c>
      <c r="X216" s="1">
        <v>-485425.9</v>
      </c>
      <c r="Y216" s="22">
        <v>10.087669999999999</v>
      </c>
      <c r="Z216" s="4">
        <f>Table1[[#This Row],[totalTimeKept]]*$AD$3</f>
        <v>151315.04999999999</v>
      </c>
      <c r="AA216" s="4">
        <f>Y216-Z216</f>
        <v>-151304.96232999998</v>
      </c>
    </row>
    <row r="217" spans="1:27" x14ac:dyDescent="0.3">
      <c r="A217" s="1">
        <v>9132245</v>
      </c>
      <c r="B217" s="1" t="s">
        <v>445</v>
      </c>
      <c r="C217" s="1" t="s">
        <v>334</v>
      </c>
      <c r="D217" s="1">
        <v>7411150</v>
      </c>
      <c r="E217" s="1">
        <v>0</v>
      </c>
      <c r="F217" s="1" t="s">
        <v>25</v>
      </c>
      <c r="G217" s="1" t="s">
        <v>46</v>
      </c>
      <c r="H217" s="2">
        <v>40671</v>
      </c>
      <c r="I217" s="1" t="s">
        <v>25</v>
      </c>
      <c r="J217" s="2">
        <v>41165</v>
      </c>
      <c r="K217" s="3"/>
      <c r="L217" s="3">
        <v>370000</v>
      </c>
      <c r="M217" s="3">
        <v>370000</v>
      </c>
      <c r="N217" s="1">
        <v>1</v>
      </c>
      <c r="O217" s="1">
        <v>0</v>
      </c>
      <c r="P217" s="1">
        <v>1</v>
      </c>
      <c r="Q217" s="3"/>
      <c r="R217" s="3"/>
      <c r="S217" s="3">
        <v>370000</v>
      </c>
      <c r="T217" s="1">
        <v>1.3534250000000001</v>
      </c>
      <c r="U217" s="3"/>
      <c r="V217" s="3"/>
      <c r="X217" s="1">
        <v>370000</v>
      </c>
      <c r="Y217" s="22">
        <v>1.3534250000000001</v>
      </c>
      <c r="Z217" s="4">
        <f>Table1[[#This Row],[totalTimeKept]]*$AD$3</f>
        <v>20301.375</v>
      </c>
      <c r="AA217" s="4">
        <f>Y217-Z217</f>
        <v>-20300.021574999999</v>
      </c>
    </row>
    <row r="218" spans="1:27" x14ac:dyDescent="0.3">
      <c r="A218" s="1">
        <v>9132246</v>
      </c>
      <c r="B218" s="1" t="s">
        <v>446</v>
      </c>
      <c r="C218" s="1" t="s">
        <v>319</v>
      </c>
      <c r="D218" s="1">
        <v>7174563</v>
      </c>
      <c r="E218" s="1">
        <v>0</v>
      </c>
      <c r="F218" s="1" t="s">
        <v>25</v>
      </c>
      <c r="G218" s="1" t="s">
        <v>292</v>
      </c>
      <c r="H218" s="2">
        <v>40673</v>
      </c>
      <c r="I218" s="1" t="s">
        <v>25</v>
      </c>
      <c r="J218" s="2">
        <v>41388</v>
      </c>
      <c r="K218" s="3"/>
      <c r="L218" s="3">
        <v>375000</v>
      </c>
      <c r="M218" s="3">
        <v>375000</v>
      </c>
      <c r="N218" s="1">
        <v>1</v>
      </c>
      <c r="O218" s="1">
        <v>0</v>
      </c>
      <c r="P218" s="1">
        <v>1</v>
      </c>
      <c r="Q218" s="3"/>
      <c r="R218" s="3"/>
      <c r="S218" s="3">
        <v>375000</v>
      </c>
      <c r="T218" s="1">
        <v>1.958904</v>
      </c>
      <c r="U218" s="3"/>
      <c r="V218" s="3"/>
      <c r="X218" s="1">
        <v>375000</v>
      </c>
      <c r="Y218" s="22">
        <v>1.958904</v>
      </c>
      <c r="Z218" s="4">
        <f>Table1[[#This Row],[totalTimeKept]]*$AD$3</f>
        <v>29383.56</v>
      </c>
      <c r="AA218" s="4">
        <f>Y218-Z218</f>
        <v>-29381.601096000002</v>
      </c>
    </row>
    <row r="219" spans="1:27" x14ac:dyDescent="0.3">
      <c r="A219" s="1">
        <v>9150527</v>
      </c>
      <c r="B219" s="1" t="s">
        <v>447</v>
      </c>
      <c r="C219" s="1" t="s">
        <v>59</v>
      </c>
      <c r="D219" s="1">
        <v>4670644</v>
      </c>
      <c r="E219" s="1">
        <v>0</v>
      </c>
      <c r="F219" s="1" t="s">
        <v>25</v>
      </c>
      <c r="G219" s="1" t="s">
        <v>46</v>
      </c>
      <c r="H219" s="2">
        <v>40650</v>
      </c>
      <c r="I219" s="1" t="s">
        <v>25</v>
      </c>
      <c r="J219" s="2">
        <v>41163</v>
      </c>
      <c r="K219" s="3"/>
      <c r="L219" s="3">
        <v>200000</v>
      </c>
      <c r="M219" s="3">
        <v>200000</v>
      </c>
      <c r="N219" s="1">
        <v>1</v>
      </c>
      <c r="O219" s="1">
        <v>0</v>
      </c>
      <c r="P219" s="1">
        <v>1</v>
      </c>
      <c r="Q219" s="3"/>
      <c r="R219" s="3"/>
      <c r="S219" s="3">
        <v>200000</v>
      </c>
      <c r="T219" s="1">
        <v>1.4054789999999999</v>
      </c>
      <c r="U219" s="3"/>
      <c r="V219" s="3"/>
      <c r="X219" s="1">
        <v>200000</v>
      </c>
      <c r="Y219" s="22">
        <v>1.4054789999999999</v>
      </c>
      <c r="Z219" s="4">
        <f>Table1[[#This Row],[totalTimeKept]]*$AD$3</f>
        <v>21082.184999999998</v>
      </c>
      <c r="AA219" s="4">
        <f>Y219-Z219</f>
        <v>-21080.779520999997</v>
      </c>
    </row>
    <row r="220" spans="1:27" x14ac:dyDescent="0.3">
      <c r="A220" s="1">
        <v>9158954</v>
      </c>
      <c r="B220" s="1" t="s">
        <v>448</v>
      </c>
      <c r="C220" s="1" t="s">
        <v>449</v>
      </c>
      <c r="D220" s="1">
        <v>1219678</v>
      </c>
      <c r="E220" s="1">
        <v>0</v>
      </c>
      <c r="F220" s="1" t="s">
        <v>349</v>
      </c>
      <c r="G220" s="1" t="s">
        <v>46</v>
      </c>
      <c r="H220" s="2">
        <v>40641</v>
      </c>
      <c r="I220" s="2">
        <v>40860</v>
      </c>
      <c r="J220" s="2">
        <v>41127</v>
      </c>
      <c r="K220" s="3">
        <v>65000</v>
      </c>
      <c r="L220" s="3">
        <v>210000</v>
      </c>
      <c r="M220" s="3">
        <v>145000</v>
      </c>
      <c r="N220" s="1">
        <v>0</v>
      </c>
      <c r="O220" s="1">
        <v>1</v>
      </c>
      <c r="P220" s="1">
        <v>1</v>
      </c>
      <c r="Q220" s="3"/>
      <c r="R220" s="3"/>
      <c r="S220" s="3">
        <v>145000</v>
      </c>
      <c r="T220" s="1">
        <v>0.73150680000000001</v>
      </c>
      <c r="U220" s="3"/>
      <c r="V220" s="3"/>
      <c r="X220" s="1">
        <v>145000</v>
      </c>
      <c r="Y220" s="22">
        <v>0.73150680000000001</v>
      </c>
      <c r="Z220" s="4">
        <f>Table1[[#This Row],[totalTimeKept]]*$AD$3</f>
        <v>10972.602000000001</v>
      </c>
      <c r="AA220" s="4">
        <f>Y220-Z220</f>
        <v>-10971.8704932</v>
      </c>
    </row>
    <row r="221" spans="1:27" x14ac:dyDescent="0.3">
      <c r="A221" s="1">
        <v>9161881</v>
      </c>
      <c r="B221" s="1" t="s">
        <v>450</v>
      </c>
      <c r="C221" s="1" t="s">
        <v>451</v>
      </c>
      <c r="D221" s="1">
        <v>7690173</v>
      </c>
      <c r="E221" s="1">
        <v>0</v>
      </c>
      <c r="F221" s="1" t="s">
        <v>25</v>
      </c>
      <c r="G221" s="1" t="s">
        <v>292</v>
      </c>
      <c r="H221" s="2">
        <v>40661</v>
      </c>
      <c r="I221" s="1" t="s">
        <v>25</v>
      </c>
      <c r="J221" s="2">
        <v>41372</v>
      </c>
      <c r="K221" s="3"/>
      <c r="L221" s="3">
        <v>270000</v>
      </c>
      <c r="M221" s="3">
        <v>270000</v>
      </c>
      <c r="N221" s="1">
        <v>1</v>
      </c>
      <c r="O221" s="1">
        <v>0</v>
      </c>
      <c r="P221" s="1">
        <v>1</v>
      </c>
      <c r="Q221" s="3"/>
      <c r="R221" s="3"/>
      <c r="S221" s="3">
        <v>270000</v>
      </c>
      <c r="T221" s="1">
        <v>1.947945</v>
      </c>
      <c r="U221" s="3"/>
      <c r="V221" s="3"/>
      <c r="X221" s="1">
        <v>270000</v>
      </c>
      <c r="Y221" s="22">
        <v>1.947945</v>
      </c>
      <c r="Z221" s="4">
        <f>Table1[[#This Row],[totalTimeKept]]*$AD$3</f>
        <v>29219.174999999999</v>
      </c>
      <c r="AA221" s="4">
        <f>Y221-Z221</f>
        <v>-29217.227054999999</v>
      </c>
    </row>
    <row r="222" spans="1:27" x14ac:dyDescent="0.3">
      <c r="A222" s="1">
        <v>9168005</v>
      </c>
      <c r="B222" s="1" t="s">
        <v>452</v>
      </c>
      <c r="C222" s="1" t="s">
        <v>453</v>
      </c>
      <c r="D222" s="1">
        <v>5700158</v>
      </c>
      <c r="E222" s="1">
        <v>0</v>
      </c>
      <c r="F222" s="1" t="s">
        <v>139</v>
      </c>
      <c r="G222" s="1" t="s">
        <v>24</v>
      </c>
      <c r="H222" s="2">
        <v>40670</v>
      </c>
      <c r="I222" s="2">
        <v>42681</v>
      </c>
      <c r="J222" s="2">
        <v>43047</v>
      </c>
      <c r="K222" s="3">
        <v>800000</v>
      </c>
      <c r="L222" s="3">
        <v>950000</v>
      </c>
      <c r="M222" s="3">
        <v>150000</v>
      </c>
      <c r="N222" s="1">
        <v>0</v>
      </c>
      <c r="O222" s="1">
        <v>1</v>
      </c>
      <c r="P222" s="1">
        <v>1</v>
      </c>
      <c r="Q222" s="3"/>
      <c r="R222" s="3"/>
      <c r="S222" s="3">
        <v>150000</v>
      </c>
      <c r="T222" s="1">
        <v>1.00274</v>
      </c>
      <c r="U222" s="3"/>
      <c r="V222" s="3"/>
      <c r="X222" s="1">
        <v>150000</v>
      </c>
      <c r="Y222" s="22">
        <v>1.00274</v>
      </c>
      <c r="Z222" s="4">
        <f>Table1[[#This Row],[totalTimeKept]]*$AD$3</f>
        <v>15041.1</v>
      </c>
      <c r="AA222" s="4">
        <f>Y222-Z222</f>
        <v>-15040.09726</v>
      </c>
    </row>
    <row r="223" spans="1:27" x14ac:dyDescent="0.3">
      <c r="A223" s="1">
        <v>9169840</v>
      </c>
      <c r="B223" s="1" t="s">
        <v>454</v>
      </c>
      <c r="C223" s="1" t="s">
        <v>283</v>
      </c>
      <c r="D223" s="1">
        <v>5394267</v>
      </c>
      <c r="E223" s="1">
        <v>0</v>
      </c>
      <c r="F223" s="1" t="s">
        <v>139</v>
      </c>
      <c r="G223" s="1" t="s">
        <v>24</v>
      </c>
      <c r="H223" s="2">
        <v>40667</v>
      </c>
      <c r="I223" s="2">
        <v>42044</v>
      </c>
      <c r="J223" s="2">
        <v>42660</v>
      </c>
      <c r="K223" s="3">
        <v>27000</v>
      </c>
      <c r="L223" s="3">
        <v>15000</v>
      </c>
      <c r="M223" s="3">
        <v>-12000</v>
      </c>
      <c r="N223" s="1">
        <v>0</v>
      </c>
      <c r="O223" s="1">
        <v>1</v>
      </c>
      <c r="P223" s="1">
        <v>1</v>
      </c>
      <c r="Q223" s="3">
        <v>20000</v>
      </c>
      <c r="R223" s="3"/>
      <c r="S223" s="3">
        <v>-32000</v>
      </c>
      <c r="T223" s="1">
        <v>1.6876709999999999</v>
      </c>
      <c r="U223" s="3">
        <v>25000</v>
      </c>
      <c r="V223" s="3">
        <v>0</v>
      </c>
      <c r="W223" s="1">
        <v>0.57260270000000002</v>
      </c>
      <c r="X223" s="1">
        <v>-7000</v>
      </c>
      <c r="Y223" s="22">
        <v>2.2602739999999999</v>
      </c>
      <c r="Z223" s="4">
        <f>Table1[[#This Row],[totalTimeKept]]*$AD$3</f>
        <v>33904.11</v>
      </c>
      <c r="AA223" s="4">
        <f>Y223-Z223</f>
        <v>-33901.849726</v>
      </c>
    </row>
    <row r="224" spans="1:27" x14ac:dyDescent="0.3">
      <c r="A224" s="1">
        <v>9169983</v>
      </c>
      <c r="B224" s="1" t="s">
        <v>455</v>
      </c>
      <c r="C224" s="1" t="s">
        <v>456</v>
      </c>
      <c r="D224" s="1">
        <v>6791541</v>
      </c>
      <c r="E224" s="1">
        <v>0</v>
      </c>
      <c r="F224" s="1" t="s">
        <v>139</v>
      </c>
      <c r="G224" s="1" t="s">
        <v>25</v>
      </c>
      <c r="H224" s="2">
        <v>40598</v>
      </c>
      <c r="I224" s="2">
        <v>42310</v>
      </c>
      <c r="J224" s="2" t="s">
        <v>25</v>
      </c>
      <c r="K224" s="3">
        <v>300000</v>
      </c>
      <c r="L224" s="3"/>
      <c r="M224" s="3">
        <v>-300000</v>
      </c>
      <c r="N224" s="1">
        <v>0</v>
      </c>
      <c r="O224" s="1">
        <v>1</v>
      </c>
      <c r="P224" s="1">
        <v>0</v>
      </c>
      <c r="Q224" s="3">
        <v>66111.11</v>
      </c>
      <c r="R224" s="3"/>
      <c r="S224" s="3">
        <v>-366111.1</v>
      </c>
      <c r="T224" s="1">
        <v>9.3013700000000004</v>
      </c>
      <c r="U224" s="3">
        <v>150000</v>
      </c>
      <c r="V224" s="3">
        <v>0</v>
      </c>
      <c r="W224" s="1">
        <v>0.7534246</v>
      </c>
      <c r="X224" s="1">
        <v>-216111.1</v>
      </c>
      <c r="Y224" s="22">
        <v>10.054790000000001</v>
      </c>
      <c r="Z224" s="4">
        <f>Table1[[#This Row],[totalTimeKept]]*$AD$3</f>
        <v>150821.85</v>
      </c>
      <c r="AA224" s="4">
        <f>Y224-Z224</f>
        <v>-150811.79521000001</v>
      </c>
    </row>
    <row r="225" spans="1:27" x14ac:dyDescent="0.3">
      <c r="A225" s="1">
        <v>9214747</v>
      </c>
      <c r="B225" s="1" t="s">
        <v>457</v>
      </c>
      <c r="C225" s="1" t="s">
        <v>458</v>
      </c>
      <c r="D225" s="1">
        <v>7721471</v>
      </c>
      <c r="E225" s="1">
        <v>0</v>
      </c>
      <c r="F225" s="1" t="s">
        <v>24</v>
      </c>
      <c r="G225" s="1" t="s">
        <v>25</v>
      </c>
      <c r="H225" s="2">
        <v>40647</v>
      </c>
      <c r="I225" s="2">
        <v>42682</v>
      </c>
      <c r="J225" s="2" t="s">
        <v>25</v>
      </c>
      <c r="K225" s="3">
        <v>1500000</v>
      </c>
      <c r="L225" s="3"/>
      <c r="M225" s="3">
        <v>-1500000</v>
      </c>
      <c r="N225" s="1">
        <v>0</v>
      </c>
      <c r="O225" s="1">
        <v>1</v>
      </c>
      <c r="P225" s="1">
        <v>0</v>
      </c>
      <c r="Q225" s="3">
        <v>35488.720000000001</v>
      </c>
      <c r="R225" s="3"/>
      <c r="S225" s="3">
        <v>-1535489</v>
      </c>
      <c r="T225" s="1">
        <v>8.2821920000000002</v>
      </c>
      <c r="U225" s="3">
        <v>775000</v>
      </c>
      <c r="V225" s="3">
        <v>0</v>
      </c>
      <c r="W225" s="1">
        <v>0.4931507</v>
      </c>
      <c r="X225" s="1">
        <v>-760488.8</v>
      </c>
      <c r="Y225" s="22">
        <v>8.7753429999999994</v>
      </c>
      <c r="Z225" s="4">
        <f>Table1[[#This Row],[totalTimeKept]]*$AD$3</f>
        <v>131630.14499999999</v>
      </c>
      <c r="AA225" s="4">
        <f>Y225-Z225</f>
        <v>-131621.369657</v>
      </c>
    </row>
    <row r="226" spans="1:27" x14ac:dyDescent="0.3">
      <c r="A226" s="1">
        <v>9260148</v>
      </c>
      <c r="B226" s="1" t="s">
        <v>459</v>
      </c>
      <c r="C226" s="1" t="s">
        <v>460</v>
      </c>
      <c r="D226" s="1">
        <v>6468089</v>
      </c>
      <c r="E226" s="1">
        <v>0</v>
      </c>
      <c r="F226" s="1" t="s">
        <v>139</v>
      </c>
      <c r="G226" s="1" t="s">
        <v>25</v>
      </c>
      <c r="H226" s="2">
        <v>40927</v>
      </c>
      <c r="I226" s="2">
        <v>43048</v>
      </c>
      <c r="J226" s="1" t="s">
        <v>25</v>
      </c>
      <c r="K226" s="3">
        <v>75000</v>
      </c>
      <c r="L226" s="3"/>
      <c r="M226" s="3">
        <v>-75000</v>
      </c>
      <c r="N226" s="1">
        <v>0</v>
      </c>
      <c r="O226" s="1">
        <v>1</v>
      </c>
      <c r="P226" s="1">
        <v>0</v>
      </c>
      <c r="Q226" s="3">
        <v>0</v>
      </c>
      <c r="R226" s="3"/>
      <c r="S226" s="3">
        <v>-75000</v>
      </c>
      <c r="T226" s="1">
        <v>7.279452</v>
      </c>
      <c r="U226" s="3"/>
      <c r="V226" s="3"/>
      <c r="X226" s="1">
        <v>-75000</v>
      </c>
      <c r="Y226" s="22">
        <v>7.279452</v>
      </c>
      <c r="Z226" s="4">
        <f>Table1[[#This Row],[totalTimeKept]]*$AD$3</f>
        <v>109191.78</v>
      </c>
      <c r="AA226" s="4">
        <f>Y226-Z226</f>
        <v>-109184.500548</v>
      </c>
    </row>
    <row r="227" spans="1:27" x14ac:dyDescent="0.3">
      <c r="A227" s="1">
        <v>9264460</v>
      </c>
      <c r="B227" s="1" t="s">
        <v>461</v>
      </c>
      <c r="C227" s="1" t="s">
        <v>462</v>
      </c>
      <c r="D227" s="1">
        <v>4307108</v>
      </c>
      <c r="E227" s="1">
        <v>0</v>
      </c>
      <c r="F227" s="1" t="s">
        <v>25</v>
      </c>
      <c r="G227" s="1" t="s">
        <v>46</v>
      </c>
      <c r="H227" s="2">
        <v>40929</v>
      </c>
      <c r="I227" s="1" t="s">
        <v>25</v>
      </c>
      <c r="J227" s="2">
        <v>41529</v>
      </c>
      <c r="K227" s="3"/>
      <c r="L227" s="3">
        <v>1000000</v>
      </c>
      <c r="M227" s="3">
        <v>1000000</v>
      </c>
      <c r="N227" s="1">
        <v>1</v>
      </c>
      <c r="O227" s="1">
        <v>0</v>
      </c>
      <c r="P227" s="1">
        <v>1</v>
      </c>
      <c r="Q227" s="3"/>
      <c r="R227" s="3"/>
      <c r="S227" s="3">
        <v>1000000</v>
      </c>
      <c r="T227" s="1">
        <v>1.6438360000000001</v>
      </c>
      <c r="U227" s="3"/>
      <c r="V227" s="3"/>
      <c r="X227" s="1">
        <v>1000000</v>
      </c>
      <c r="Y227" s="22">
        <v>1.6438360000000001</v>
      </c>
      <c r="Z227" s="4">
        <f>Table1[[#This Row],[totalTimeKept]]*$AD$3</f>
        <v>24657.54</v>
      </c>
      <c r="AA227" s="4">
        <f>Y227-Z227</f>
        <v>-24655.896164000002</v>
      </c>
    </row>
    <row r="228" spans="1:27" x14ac:dyDescent="0.3">
      <c r="A228" s="1">
        <v>9269034</v>
      </c>
      <c r="B228" s="1" t="s">
        <v>463</v>
      </c>
      <c r="C228" s="1" t="s">
        <v>464</v>
      </c>
      <c r="D228" s="1">
        <v>7413429</v>
      </c>
      <c r="E228" s="1">
        <v>0</v>
      </c>
      <c r="F228" s="1" t="s">
        <v>25</v>
      </c>
      <c r="G228" s="1" t="s">
        <v>46</v>
      </c>
      <c r="H228" s="2">
        <v>40927</v>
      </c>
      <c r="I228" s="1" t="s">
        <v>25</v>
      </c>
      <c r="J228" s="2">
        <v>41527</v>
      </c>
      <c r="K228" s="3"/>
      <c r="L228" s="3">
        <v>320000</v>
      </c>
      <c r="M228" s="3">
        <v>320000</v>
      </c>
      <c r="N228" s="1">
        <v>1</v>
      </c>
      <c r="O228" s="1">
        <v>0</v>
      </c>
      <c r="P228" s="1">
        <v>1</v>
      </c>
      <c r="Q228" s="3"/>
      <c r="R228" s="3"/>
      <c r="S228" s="3">
        <v>320000</v>
      </c>
      <c r="T228" s="1">
        <v>1.6438360000000001</v>
      </c>
      <c r="U228" s="3"/>
      <c r="V228" s="3"/>
      <c r="X228" s="1">
        <v>320000</v>
      </c>
      <c r="Y228" s="22">
        <v>1.6438360000000001</v>
      </c>
      <c r="Z228" s="4">
        <f>Table1[[#This Row],[totalTimeKept]]*$AD$3</f>
        <v>24657.54</v>
      </c>
      <c r="AA228" s="4">
        <f>Y228-Z228</f>
        <v>-24655.896164000002</v>
      </c>
    </row>
    <row r="229" spans="1:27" x14ac:dyDescent="0.3">
      <c r="A229" s="1">
        <v>9269036</v>
      </c>
      <c r="B229" s="1" t="s">
        <v>465</v>
      </c>
      <c r="C229" s="1" t="s">
        <v>346</v>
      </c>
      <c r="D229" s="1">
        <v>7263322</v>
      </c>
      <c r="E229" s="1">
        <v>0</v>
      </c>
      <c r="F229" s="1" t="s">
        <v>25</v>
      </c>
      <c r="G229" s="1" t="s">
        <v>349</v>
      </c>
      <c r="H229" s="2">
        <v>40939</v>
      </c>
      <c r="I229" s="1" t="s">
        <v>25</v>
      </c>
      <c r="J229" s="2">
        <v>41222</v>
      </c>
      <c r="K229" s="3"/>
      <c r="L229" s="3">
        <v>135000</v>
      </c>
      <c r="M229" s="3">
        <v>135000</v>
      </c>
      <c r="N229" s="1">
        <v>1</v>
      </c>
      <c r="O229" s="1">
        <v>0</v>
      </c>
      <c r="P229" s="1">
        <v>1</v>
      </c>
      <c r="Q229" s="3"/>
      <c r="R229" s="3"/>
      <c r="S229" s="3">
        <v>135000</v>
      </c>
      <c r="T229" s="1">
        <v>0.77534250000000005</v>
      </c>
      <c r="U229" s="3"/>
      <c r="V229" s="3"/>
      <c r="X229" s="1">
        <v>135000</v>
      </c>
      <c r="Y229" s="22">
        <v>0.77534250000000005</v>
      </c>
      <c r="Z229" s="4">
        <f>Table1[[#This Row],[totalTimeKept]]*$AD$3</f>
        <v>11630.137500000001</v>
      </c>
      <c r="AA229" s="4">
        <f>Y229-Z229</f>
        <v>-11629.362157500002</v>
      </c>
    </row>
    <row r="230" spans="1:27" x14ac:dyDescent="0.3">
      <c r="A230" s="1">
        <v>9269046</v>
      </c>
      <c r="B230" s="1" t="s">
        <v>466</v>
      </c>
      <c r="C230" s="1" t="s">
        <v>467</v>
      </c>
      <c r="D230" s="1">
        <v>8023128</v>
      </c>
      <c r="E230" s="1">
        <v>0</v>
      </c>
      <c r="F230" s="1" t="s">
        <v>25</v>
      </c>
      <c r="G230" s="1" t="s">
        <v>349</v>
      </c>
      <c r="H230" s="2">
        <v>40944</v>
      </c>
      <c r="I230" s="2" t="s">
        <v>25</v>
      </c>
      <c r="J230" s="2">
        <v>41219</v>
      </c>
      <c r="K230" s="3"/>
      <c r="L230" s="3">
        <v>280000</v>
      </c>
      <c r="M230" s="3">
        <v>280000</v>
      </c>
      <c r="N230" s="1">
        <v>1</v>
      </c>
      <c r="O230" s="1">
        <v>0</v>
      </c>
      <c r="P230" s="1">
        <v>1</v>
      </c>
      <c r="Q230" s="3"/>
      <c r="R230" s="3"/>
      <c r="S230" s="3">
        <v>280000</v>
      </c>
      <c r="T230" s="1">
        <v>0.7534246</v>
      </c>
      <c r="U230" s="3"/>
      <c r="V230" s="3"/>
      <c r="X230" s="1">
        <v>280000</v>
      </c>
      <c r="Y230" s="22">
        <v>0.7534246</v>
      </c>
      <c r="Z230" s="4">
        <f>Table1[[#This Row],[totalTimeKept]]*$AD$3</f>
        <v>11301.369000000001</v>
      </c>
      <c r="AA230" s="4">
        <f>Y230-Z230</f>
        <v>-11300.615575400001</v>
      </c>
    </row>
    <row r="231" spans="1:27" x14ac:dyDescent="0.3">
      <c r="A231" s="1">
        <v>9270881</v>
      </c>
      <c r="B231" s="1" t="s">
        <v>468</v>
      </c>
      <c r="C231" s="1" t="s">
        <v>469</v>
      </c>
      <c r="D231" s="1">
        <v>4439793</v>
      </c>
      <c r="E231" s="1">
        <v>0</v>
      </c>
      <c r="F231" s="1" t="s">
        <v>24</v>
      </c>
      <c r="G231" s="1" t="s">
        <v>24</v>
      </c>
      <c r="H231" s="2">
        <v>40950</v>
      </c>
      <c r="I231" s="2">
        <v>43048</v>
      </c>
      <c r="J231" s="2">
        <v>43616</v>
      </c>
      <c r="K231" s="3">
        <v>140000</v>
      </c>
      <c r="L231" s="3">
        <v>55280</v>
      </c>
      <c r="M231" s="3">
        <v>-84720</v>
      </c>
      <c r="N231" s="1">
        <v>0</v>
      </c>
      <c r="O231" s="1">
        <v>1</v>
      </c>
      <c r="P231" s="1">
        <v>1</v>
      </c>
      <c r="Q231" s="3">
        <v>0</v>
      </c>
      <c r="R231" s="3"/>
      <c r="S231" s="3">
        <v>-84720</v>
      </c>
      <c r="T231" s="1">
        <v>1.5561640000000001</v>
      </c>
      <c r="U231" s="3">
        <v>25000</v>
      </c>
      <c r="V231" s="3">
        <v>0</v>
      </c>
      <c r="W231" s="1">
        <v>0.5917808</v>
      </c>
      <c r="X231" s="1">
        <v>-59720</v>
      </c>
      <c r="Y231" s="22">
        <v>2.147945</v>
      </c>
      <c r="Z231" s="4">
        <f>Table1[[#This Row],[totalTimeKept]]*$AD$3</f>
        <v>32219.174999999999</v>
      </c>
      <c r="AA231" s="4">
        <f>Y231-Z231</f>
        <v>-32217.027054999999</v>
      </c>
    </row>
    <row r="232" spans="1:27" x14ac:dyDescent="0.3">
      <c r="A232" s="1">
        <v>9276144</v>
      </c>
      <c r="B232" s="1" t="s">
        <v>470</v>
      </c>
      <c r="C232" s="1" t="s">
        <v>471</v>
      </c>
      <c r="D232" s="1">
        <v>8290975</v>
      </c>
      <c r="E232" s="1">
        <v>0</v>
      </c>
      <c r="F232" s="1" t="s">
        <v>139</v>
      </c>
      <c r="G232" s="1" t="s">
        <v>25</v>
      </c>
      <c r="H232" s="2">
        <v>40955</v>
      </c>
      <c r="I232" s="2">
        <v>43409</v>
      </c>
      <c r="J232" s="2" t="s">
        <v>25</v>
      </c>
      <c r="K232" s="3">
        <v>425000</v>
      </c>
      <c r="L232" s="3"/>
      <c r="M232" s="3">
        <v>-425000</v>
      </c>
      <c r="N232" s="1">
        <v>0</v>
      </c>
      <c r="O232" s="1">
        <v>1</v>
      </c>
      <c r="P232" s="1">
        <v>0</v>
      </c>
      <c r="Q232" s="3">
        <v>35488.720000000001</v>
      </c>
      <c r="R232" s="3"/>
      <c r="S232" s="3">
        <v>-460488.7</v>
      </c>
      <c r="T232" s="1">
        <v>6.2904109999999998</v>
      </c>
      <c r="U232" s="3"/>
      <c r="V232" s="3"/>
      <c r="X232" s="1">
        <v>-460488.7</v>
      </c>
      <c r="Y232" s="22">
        <v>6.2904109999999998</v>
      </c>
      <c r="Z232" s="4">
        <f>Table1[[#This Row],[totalTimeKept]]*$AD$3</f>
        <v>94356.164999999994</v>
      </c>
      <c r="AA232" s="4">
        <f>Y232-Z232</f>
        <v>-94349.874588999999</v>
      </c>
    </row>
    <row r="233" spans="1:27" x14ac:dyDescent="0.3">
      <c r="A233" s="1">
        <v>9276167</v>
      </c>
      <c r="B233" s="1" t="s">
        <v>472</v>
      </c>
      <c r="C233" s="1" t="s">
        <v>473</v>
      </c>
      <c r="D233" s="1">
        <v>6096402</v>
      </c>
      <c r="E233" s="1">
        <v>0</v>
      </c>
      <c r="F233" s="1" t="s">
        <v>25</v>
      </c>
      <c r="G233" s="1" t="s">
        <v>46</v>
      </c>
      <c r="H233" s="2">
        <v>40952</v>
      </c>
      <c r="I233" s="1" t="s">
        <v>25</v>
      </c>
      <c r="J233" s="2">
        <v>41528</v>
      </c>
      <c r="K233" s="3"/>
      <c r="L233" s="3">
        <v>300000</v>
      </c>
      <c r="M233" s="3">
        <v>300000</v>
      </c>
      <c r="N233" s="1">
        <v>1</v>
      </c>
      <c r="O233" s="1">
        <v>0</v>
      </c>
      <c r="P233" s="1">
        <v>1</v>
      </c>
      <c r="Q233" s="3"/>
      <c r="R233" s="3"/>
      <c r="S233" s="3">
        <v>300000</v>
      </c>
      <c r="T233" s="1">
        <v>1.578082</v>
      </c>
      <c r="U233" s="3"/>
      <c r="V233" s="3"/>
      <c r="X233" s="1">
        <v>300000</v>
      </c>
      <c r="Y233" s="22">
        <v>1.578082</v>
      </c>
      <c r="Z233" s="4">
        <f>Table1[[#This Row],[totalTimeKept]]*$AD$3</f>
        <v>23671.23</v>
      </c>
      <c r="AA233" s="4">
        <f>Y233-Z233</f>
        <v>-23669.651918</v>
      </c>
    </row>
    <row r="234" spans="1:27" x14ac:dyDescent="0.3">
      <c r="A234" s="1">
        <v>9276170</v>
      </c>
      <c r="B234" s="1" t="s">
        <v>474</v>
      </c>
      <c r="C234" s="1" t="s">
        <v>69</v>
      </c>
      <c r="D234" s="1">
        <v>5210668</v>
      </c>
      <c r="E234" s="1">
        <v>0</v>
      </c>
      <c r="F234" s="1" t="s">
        <v>25</v>
      </c>
      <c r="G234" s="1" t="s">
        <v>349</v>
      </c>
      <c r="H234" s="2">
        <v>40955</v>
      </c>
      <c r="I234" s="1" t="s">
        <v>25</v>
      </c>
      <c r="J234" s="2">
        <v>41223</v>
      </c>
      <c r="K234" s="3"/>
      <c r="L234" s="3">
        <v>40000</v>
      </c>
      <c r="M234" s="3">
        <v>40000</v>
      </c>
      <c r="N234" s="1">
        <v>1</v>
      </c>
      <c r="O234" s="1">
        <v>0</v>
      </c>
      <c r="P234" s="1">
        <v>1</v>
      </c>
      <c r="Q234" s="3"/>
      <c r="R234" s="3"/>
      <c r="S234" s="3">
        <v>40000</v>
      </c>
      <c r="T234" s="1">
        <v>0.73424659999999997</v>
      </c>
      <c r="U234" s="3"/>
      <c r="V234" s="3"/>
      <c r="X234" s="1">
        <v>40000</v>
      </c>
      <c r="Y234" s="22">
        <v>0.73424659999999997</v>
      </c>
      <c r="Z234" s="4">
        <f>Table1[[#This Row],[totalTimeKept]]*$AD$3</f>
        <v>11013.698999999999</v>
      </c>
      <c r="AA234" s="4">
        <f>Y234-Z234</f>
        <v>-11012.9647534</v>
      </c>
    </row>
    <row r="235" spans="1:27" x14ac:dyDescent="0.3">
      <c r="A235" s="1">
        <v>9277856</v>
      </c>
      <c r="B235" s="1" t="s">
        <v>475</v>
      </c>
      <c r="C235" s="1" t="s">
        <v>353</v>
      </c>
      <c r="D235" s="1">
        <v>6865729</v>
      </c>
      <c r="E235" s="1">
        <v>328350</v>
      </c>
      <c r="F235" s="1" t="s">
        <v>25</v>
      </c>
      <c r="G235" s="1" t="s">
        <v>139</v>
      </c>
      <c r="H235" s="2">
        <v>40947</v>
      </c>
      <c r="I235" s="1" t="s">
        <v>25</v>
      </c>
      <c r="J235" s="2">
        <v>42310</v>
      </c>
      <c r="K235" s="3"/>
      <c r="L235" s="3">
        <v>1650000</v>
      </c>
      <c r="M235" s="3">
        <v>1650000</v>
      </c>
      <c r="N235" s="1">
        <v>1</v>
      </c>
      <c r="O235" s="1">
        <v>0</v>
      </c>
      <c r="P235" s="1">
        <v>1</v>
      </c>
      <c r="Q235" s="3"/>
      <c r="R235" s="3"/>
      <c r="S235" s="3">
        <v>1978350</v>
      </c>
      <c r="T235" s="1">
        <v>3.7342460000000002</v>
      </c>
      <c r="U235" s="3"/>
      <c r="V235" s="3"/>
      <c r="X235" s="1">
        <v>1978350</v>
      </c>
      <c r="Y235" s="22">
        <v>3.7342460000000002</v>
      </c>
      <c r="Z235" s="4">
        <f>Table1[[#This Row],[totalTimeKept]]*$AD$3</f>
        <v>56013.69</v>
      </c>
      <c r="AA235" s="4">
        <f>Y235-Z235</f>
        <v>-56009.955754000002</v>
      </c>
    </row>
    <row r="236" spans="1:27" x14ac:dyDescent="0.3">
      <c r="A236" s="1">
        <v>9277861</v>
      </c>
      <c r="B236" s="1" t="s">
        <v>476</v>
      </c>
      <c r="C236" s="1" t="s">
        <v>477</v>
      </c>
      <c r="D236" s="1">
        <v>6909698</v>
      </c>
      <c r="E236" s="1">
        <v>0</v>
      </c>
      <c r="F236" s="1" t="s">
        <v>25</v>
      </c>
      <c r="G236" s="1" t="s">
        <v>349</v>
      </c>
      <c r="H236" s="2">
        <v>40951</v>
      </c>
      <c r="I236" s="1" t="s">
        <v>25</v>
      </c>
      <c r="J236" s="2">
        <v>41220</v>
      </c>
      <c r="K236" s="3"/>
      <c r="L236" s="3">
        <v>30000</v>
      </c>
      <c r="M236" s="3">
        <v>30000</v>
      </c>
      <c r="N236" s="1">
        <v>1</v>
      </c>
      <c r="O236" s="1">
        <v>0</v>
      </c>
      <c r="P236" s="1">
        <v>1</v>
      </c>
      <c r="Q236" s="3"/>
      <c r="R236" s="3"/>
      <c r="S236" s="3">
        <v>30000</v>
      </c>
      <c r="T236" s="1">
        <v>0.73698629999999998</v>
      </c>
      <c r="U236" s="3"/>
      <c r="V236" s="3"/>
      <c r="X236" s="1">
        <v>30000</v>
      </c>
      <c r="Y236" s="22">
        <v>0.73698629999999998</v>
      </c>
      <c r="Z236" s="4">
        <f>Table1[[#This Row],[totalTimeKept]]*$AD$3</f>
        <v>11054.7945</v>
      </c>
      <c r="AA236" s="4">
        <f>Y236-Z236</f>
        <v>-11054.0575137</v>
      </c>
    </row>
    <row r="237" spans="1:27" x14ac:dyDescent="0.3">
      <c r="A237" s="1">
        <v>9277862</v>
      </c>
      <c r="B237" s="1" t="s">
        <v>478</v>
      </c>
      <c r="C237" s="1" t="s">
        <v>479</v>
      </c>
      <c r="D237" s="1">
        <v>7728446</v>
      </c>
      <c r="E237" s="1">
        <v>0</v>
      </c>
      <c r="F237" s="1" t="s">
        <v>25</v>
      </c>
      <c r="G237" s="1" t="s">
        <v>292</v>
      </c>
      <c r="H237" s="2">
        <v>40951</v>
      </c>
      <c r="I237" s="1" t="s">
        <v>25</v>
      </c>
      <c r="J237" s="2">
        <v>41809</v>
      </c>
      <c r="K237" s="3"/>
      <c r="L237" s="3">
        <v>9000</v>
      </c>
      <c r="M237" s="3">
        <v>9000</v>
      </c>
      <c r="N237" s="1">
        <v>1</v>
      </c>
      <c r="O237" s="1">
        <v>0</v>
      </c>
      <c r="P237" s="1">
        <v>1</v>
      </c>
      <c r="Q237" s="3"/>
      <c r="R237" s="3"/>
      <c r="S237" s="3">
        <v>9000</v>
      </c>
      <c r="T237" s="1">
        <v>2.3506849999999999</v>
      </c>
      <c r="U237" s="3"/>
      <c r="V237" s="3"/>
      <c r="X237" s="1">
        <v>9000</v>
      </c>
      <c r="Y237" s="22">
        <v>2.3506849999999999</v>
      </c>
      <c r="Z237" s="4">
        <f>Table1[[#This Row],[totalTimeKept]]*$AD$3</f>
        <v>35260.275000000001</v>
      </c>
      <c r="AA237" s="4">
        <f>Y237-Z237</f>
        <v>-35257.924315000004</v>
      </c>
    </row>
    <row r="238" spans="1:27" x14ac:dyDescent="0.3">
      <c r="A238" s="1">
        <v>9280767</v>
      </c>
      <c r="B238" s="1" t="s">
        <v>480</v>
      </c>
      <c r="C238" s="1" t="s">
        <v>481</v>
      </c>
      <c r="D238" s="1">
        <v>7724079</v>
      </c>
      <c r="E238" s="1">
        <v>0</v>
      </c>
      <c r="F238" s="1" t="s">
        <v>46</v>
      </c>
      <c r="G238" s="1" t="s">
        <v>25</v>
      </c>
      <c r="H238" s="2">
        <v>40956</v>
      </c>
      <c r="I238" s="2">
        <v>41529</v>
      </c>
      <c r="J238" s="2" t="s">
        <v>25</v>
      </c>
      <c r="K238" s="3">
        <v>490000</v>
      </c>
      <c r="L238" s="3"/>
      <c r="M238" s="3">
        <v>-490000</v>
      </c>
      <c r="N238" s="1">
        <v>0</v>
      </c>
      <c r="O238" s="1">
        <v>1</v>
      </c>
      <c r="P238" s="1">
        <v>0</v>
      </c>
      <c r="Q238" s="3">
        <v>555000</v>
      </c>
      <c r="R238" s="3"/>
      <c r="S238" s="3">
        <v>-1045000</v>
      </c>
      <c r="T238" s="1">
        <v>11.4411</v>
      </c>
      <c r="U238" s="3"/>
      <c r="V238" s="3"/>
      <c r="X238" s="1">
        <v>-1045000</v>
      </c>
      <c r="Y238" s="22">
        <v>11.4411</v>
      </c>
      <c r="Z238" s="4">
        <f>Table1[[#This Row],[totalTimeKept]]*$AD$3</f>
        <v>171616.5</v>
      </c>
      <c r="AA238" s="4">
        <f>Y238-Z238</f>
        <v>-171605.0589</v>
      </c>
    </row>
    <row r="239" spans="1:27" x14ac:dyDescent="0.3">
      <c r="A239" s="1">
        <v>9287069</v>
      </c>
      <c r="B239" s="1" t="s">
        <v>482</v>
      </c>
      <c r="C239" s="1" t="s">
        <v>250</v>
      </c>
      <c r="D239" s="1">
        <v>8094866</v>
      </c>
      <c r="E239" s="1">
        <v>0</v>
      </c>
      <c r="F239" s="1" t="s">
        <v>25</v>
      </c>
      <c r="G239" s="1" t="s">
        <v>46</v>
      </c>
      <c r="H239" s="2">
        <v>40964</v>
      </c>
      <c r="I239" s="1" t="s">
        <v>25</v>
      </c>
      <c r="J239" s="2">
        <v>41492</v>
      </c>
      <c r="K239" s="3"/>
      <c r="L239" s="3">
        <v>300000</v>
      </c>
      <c r="M239" s="3">
        <v>300000</v>
      </c>
      <c r="N239" s="1">
        <v>1</v>
      </c>
      <c r="O239" s="1">
        <v>0</v>
      </c>
      <c r="P239" s="1">
        <v>1</v>
      </c>
      <c r="Q239" s="3"/>
      <c r="R239" s="3"/>
      <c r="S239" s="3">
        <v>300000</v>
      </c>
      <c r="T239" s="1">
        <v>1.4465749999999999</v>
      </c>
      <c r="U239" s="3"/>
      <c r="V239" s="3"/>
      <c r="X239" s="1">
        <v>300000</v>
      </c>
      <c r="Y239" s="22">
        <v>1.4465749999999999</v>
      </c>
      <c r="Z239" s="4">
        <f>Table1[[#This Row],[totalTimeKept]]*$AD$3</f>
        <v>21698.625</v>
      </c>
      <c r="AA239" s="4">
        <f>Y239-Z239</f>
        <v>-21697.178424999998</v>
      </c>
    </row>
    <row r="240" spans="1:27" x14ac:dyDescent="0.3">
      <c r="A240" s="1">
        <v>9287077</v>
      </c>
      <c r="B240" s="1" t="s">
        <v>483</v>
      </c>
      <c r="C240" s="1" t="s">
        <v>276</v>
      </c>
      <c r="D240" s="1">
        <v>8340935</v>
      </c>
      <c r="E240" s="1">
        <v>0</v>
      </c>
      <c r="F240" s="1" t="s">
        <v>25</v>
      </c>
      <c r="G240" s="1" t="s">
        <v>46</v>
      </c>
      <c r="H240" s="2">
        <v>40966</v>
      </c>
      <c r="I240" s="1" t="s">
        <v>25</v>
      </c>
      <c r="J240" s="2">
        <v>41570</v>
      </c>
      <c r="K240" s="3"/>
      <c r="L240" s="3">
        <v>37000</v>
      </c>
      <c r="M240" s="3">
        <v>37000</v>
      </c>
      <c r="N240" s="1">
        <v>1</v>
      </c>
      <c r="O240" s="1">
        <v>0</v>
      </c>
      <c r="P240" s="1">
        <v>1</v>
      </c>
      <c r="Q240" s="3"/>
      <c r="R240" s="3"/>
      <c r="S240" s="3">
        <v>37000</v>
      </c>
      <c r="T240" s="1">
        <v>1.654795</v>
      </c>
      <c r="U240" s="3"/>
      <c r="V240" s="3"/>
      <c r="X240" s="1">
        <v>37000</v>
      </c>
      <c r="Y240" s="22">
        <v>1.654795</v>
      </c>
      <c r="Z240" s="4">
        <f>Table1[[#This Row],[totalTimeKept]]*$AD$3</f>
        <v>24821.924999999999</v>
      </c>
      <c r="AA240" s="4">
        <f>Y240-Z240</f>
        <v>-24820.270205000001</v>
      </c>
    </row>
    <row r="241" spans="1:27" x14ac:dyDescent="0.3">
      <c r="A241" s="1">
        <v>9306640</v>
      </c>
      <c r="B241" s="1" t="s">
        <v>484</v>
      </c>
      <c r="C241" s="1" t="s">
        <v>417</v>
      </c>
      <c r="D241" s="1">
        <v>7471679</v>
      </c>
      <c r="E241" s="1">
        <v>0</v>
      </c>
      <c r="F241" s="1" t="s">
        <v>25</v>
      </c>
      <c r="G241" s="1" t="s">
        <v>139</v>
      </c>
      <c r="H241" s="2">
        <v>40969</v>
      </c>
      <c r="I241" s="1" t="s">
        <v>25</v>
      </c>
      <c r="J241" s="2">
        <v>42125</v>
      </c>
      <c r="K241" s="3"/>
      <c r="L241" s="3">
        <v>25793</v>
      </c>
      <c r="M241" s="3">
        <v>25793</v>
      </c>
      <c r="N241" s="1">
        <v>1</v>
      </c>
      <c r="O241" s="1">
        <v>0</v>
      </c>
      <c r="P241" s="1">
        <v>1</v>
      </c>
      <c r="Q241" s="3"/>
      <c r="R241" s="3"/>
      <c r="S241" s="3">
        <v>25793</v>
      </c>
      <c r="T241" s="1">
        <v>3.1671230000000001</v>
      </c>
      <c r="U241" s="3"/>
      <c r="V241" s="3"/>
      <c r="X241" s="1">
        <v>25793</v>
      </c>
      <c r="Y241" s="22">
        <v>3.1671230000000001</v>
      </c>
      <c r="Z241" s="4">
        <f>Table1[[#This Row],[totalTimeKept]]*$AD$3</f>
        <v>47506.845000000001</v>
      </c>
      <c r="AA241" s="4">
        <f>Y241-Z241</f>
        <v>-47503.677877000002</v>
      </c>
    </row>
    <row r="242" spans="1:27" x14ac:dyDescent="0.3">
      <c r="A242" s="1">
        <v>9307089</v>
      </c>
      <c r="B242" s="1" t="s">
        <v>485</v>
      </c>
      <c r="C242" s="1" t="s">
        <v>187</v>
      </c>
      <c r="D242" s="1">
        <v>7693284</v>
      </c>
      <c r="E242" s="1">
        <v>0</v>
      </c>
      <c r="F242" s="1" t="s">
        <v>25</v>
      </c>
      <c r="G242" s="1" t="s">
        <v>292</v>
      </c>
      <c r="H242" s="2">
        <v>40980</v>
      </c>
      <c r="I242" s="1" t="s">
        <v>25</v>
      </c>
      <c r="J242" s="2">
        <v>41663</v>
      </c>
      <c r="K242" s="3"/>
      <c r="L242" s="3">
        <v>30000</v>
      </c>
      <c r="M242" s="3">
        <v>30000</v>
      </c>
      <c r="N242" s="1">
        <v>1</v>
      </c>
      <c r="O242" s="1">
        <v>0</v>
      </c>
      <c r="P242" s="1">
        <v>1</v>
      </c>
      <c r="Q242" s="3"/>
      <c r="R242" s="3"/>
      <c r="S242" s="3">
        <v>30000</v>
      </c>
      <c r="T242" s="1">
        <v>1.8712329999999999</v>
      </c>
      <c r="U242" s="3"/>
      <c r="V242" s="3"/>
      <c r="X242" s="1">
        <v>30000</v>
      </c>
      <c r="Y242" s="22">
        <v>1.8712329999999999</v>
      </c>
      <c r="Z242" s="4">
        <f>Table1[[#This Row],[totalTimeKept]]*$AD$3</f>
        <v>28068.494999999999</v>
      </c>
      <c r="AA242" s="4">
        <f>Y242-Z242</f>
        <v>-28066.623766999997</v>
      </c>
    </row>
    <row r="243" spans="1:27" x14ac:dyDescent="0.3">
      <c r="A243" s="1">
        <v>9307175</v>
      </c>
      <c r="B243" s="1" t="s">
        <v>486</v>
      </c>
      <c r="C243" s="1" t="s">
        <v>53</v>
      </c>
      <c r="D243" s="1">
        <v>4530465</v>
      </c>
      <c r="E243" s="1">
        <v>0</v>
      </c>
      <c r="F243" s="1" t="s">
        <v>25</v>
      </c>
      <c r="G243" s="1" t="s">
        <v>349</v>
      </c>
      <c r="H243" s="2">
        <v>40964</v>
      </c>
      <c r="I243" s="2" t="s">
        <v>25</v>
      </c>
      <c r="J243" s="2">
        <v>41218</v>
      </c>
      <c r="K243" s="3"/>
      <c r="L243" s="3">
        <v>97000</v>
      </c>
      <c r="M243" s="3">
        <v>97000</v>
      </c>
      <c r="N243" s="1">
        <v>1</v>
      </c>
      <c r="O243" s="1">
        <v>0</v>
      </c>
      <c r="P243" s="1">
        <v>1</v>
      </c>
      <c r="Q243" s="3"/>
      <c r="R243" s="3"/>
      <c r="S243" s="3">
        <v>97000</v>
      </c>
      <c r="T243" s="1">
        <v>0.69589040000000002</v>
      </c>
      <c r="U243" s="3"/>
      <c r="V243" s="3"/>
      <c r="X243" s="1">
        <v>97000</v>
      </c>
      <c r="Y243" s="22">
        <v>0.69589040000000002</v>
      </c>
      <c r="Z243" s="4">
        <f>Table1[[#This Row],[totalTimeKept]]*$AD$3</f>
        <v>10438.356</v>
      </c>
      <c r="AA243" s="4">
        <f>Y243-Z243</f>
        <v>-10437.660109599999</v>
      </c>
    </row>
    <row r="244" spans="1:27" x14ac:dyDescent="0.3">
      <c r="A244" s="1">
        <v>9308493</v>
      </c>
      <c r="B244" s="1" t="s">
        <v>487</v>
      </c>
      <c r="C244" s="1" t="s">
        <v>488</v>
      </c>
      <c r="D244" s="1">
        <v>6533436</v>
      </c>
      <c r="E244" s="1">
        <v>0</v>
      </c>
      <c r="F244" s="1" t="s">
        <v>24</v>
      </c>
      <c r="G244" s="1" t="s">
        <v>24</v>
      </c>
      <c r="H244" s="2">
        <v>40981</v>
      </c>
      <c r="I244" s="2">
        <v>42772</v>
      </c>
      <c r="J244" s="2">
        <v>43056</v>
      </c>
      <c r="K244" s="3">
        <v>85000</v>
      </c>
      <c r="L244" s="3">
        <v>25000</v>
      </c>
      <c r="M244" s="3">
        <v>-60000</v>
      </c>
      <c r="N244" s="1">
        <v>0</v>
      </c>
      <c r="O244" s="1">
        <v>1</v>
      </c>
      <c r="P244" s="1">
        <v>1</v>
      </c>
      <c r="Q244" s="3"/>
      <c r="R244" s="3"/>
      <c r="S244" s="3">
        <v>-60000</v>
      </c>
      <c r="T244" s="1">
        <v>0.77808219999999995</v>
      </c>
      <c r="U244" s="3"/>
      <c r="V244" s="3"/>
      <c r="X244" s="1">
        <v>-60000</v>
      </c>
      <c r="Y244" s="22">
        <v>0.77808219999999995</v>
      </c>
      <c r="Z244" s="4">
        <f>Table1[[#This Row],[totalTimeKept]]*$AD$3</f>
        <v>11671.232999999998</v>
      </c>
      <c r="AA244" s="4">
        <f>Y244-Z244</f>
        <v>-11670.454917799998</v>
      </c>
    </row>
    <row r="245" spans="1:27" x14ac:dyDescent="0.3">
      <c r="A245" s="1">
        <v>9308495</v>
      </c>
      <c r="B245" s="1" t="s">
        <v>489</v>
      </c>
      <c r="C245" s="1" t="s">
        <v>490</v>
      </c>
      <c r="D245" s="1">
        <v>7455731</v>
      </c>
      <c r="E245" s="1">
        <v>0</v>
      </c>
      <c r="F245" s="1" t="s">
        <v>24</v>
      </c>
      <c r="G245" s="1" t="s">
        <v>25</v>
      </c>
      <c r="H245" s="2">
        <v>40958</v>
      </c>
      <c r="I245" s="2">
        <v>43775</v>
      </c>
      <c r="J245" s="2" t="s">
        <v>25</v>
      </c>
      <c r="K245" s="3">
        <v>350000</v>
      </c>
      <c r="L245" s="3"/>
      <c r="M245" s="3">
        <v>-350000</v>
      </c>
      <c r="N245" s="1">
        <v>0</v>
      </c>
      <c r="O245" s="1">
        <v>1</v>
      </c>
      <c r="P245" s="1">
        <v>0</v>
      </c>
      <c r="Q245" s="3">
        <v>0</v>
      </c>
      <c r="R245" s="3"/>
      <c r="S245" s="3">
        <v>-350000</v>
      </c>
      <c r="T245" s="1">
        <v>5.2876709999999996</v>
      </c>
      <c r="U245" s="3">
        <v>575000</v>
      </c>
      <c r="V245" s="3">
        <v>0</v>
      </c>
      <c r="W245" s="1">
        <v>1.4904109999999999</v>
      </c>
      <c r="X245" s="1">
        <v>225000</v>
      </c>
      <c r="Y245" s="22">
        <v>6.7780820000000004</v>
      </c>
      <c r="Z245" s="4">
        <f>Table1[[#This Row],[totalTimeKept]]*$AD$3</f>
        <v>101671.23000000001</v>
      </c>
      <c r="AA245" s="4">
        <f>Y245-Z245</f>
        <v>-101664.45191800001</v>
      </c>
    </row>
    <row r="246" spans="1:27" x14ac:dyDescent="0.3">
      <c r="A246" s="1">
        <v>9308503</v>
      </c>
      <c r="B246" s="1" t="s">
        <v>491</v>
      </c>
      <c r="C246" s="1" t="s">
        <v>140</v>
      </c>
      <c r="D246" s="1">
        <v>7179253</v>
      </c>
      <c r="E246" s="1">
        <v>0</v>
      </c>
      <c r="F246" s="1" t="s">
        <v>25</v>
      </c>
      <c r="G246" s="1" t="s">
        <v>46</v>
      </c>
      <c r="H246" s="2">
        <v>40976</v>
      </c>
      <c r="I246" s="1" t="s">
        <v>25</v>
      </c>
      <c r="J246" s="2">
        <v>41532</v>
      </c>
      <c r="K246" s="3"/>
      <c r="L246" s="3">
        <v>100000</v>
      </c>
      <c r="M246" s="3">
        <v>100000</v>
      </c>
      <c r="N246" s="1">
        <v>1</v>
      </c>
      <c r="O246" s="1">
        <v>0</v>
      </c>
      <c r="P246" s="1">
        <v>1</v>
      </c>
      <c r="Q246" s="3"/>
      <c r="R246" s="3"/>
      <c r="S246" s="3">
        <v>100000</v>
      </c>
      <c r="T246" s="1">
        <v>1.523288</v>
      </c>
      <c r="U246" s="3"/>
      <c r="V246" s="3"/>
      <c r="X246" s="1">
        <v>100000</v>
      </c>
      <c r="Y246" s="22">
        <v>1.523288</v>
      </c>
      <c r="Z246" s="4">
        <f>Table1[[#This Row],[totalTimeKept]]*$AD$3</f>
        <v>22849.32</v>
      </c>
      <c r="AA246" s="4">
        <f>Y246-Z246</f>
        <v>-22847.796711999999</v>
      </c>
    </row>
    <row r="247" spans="1:27" x14ac:dyDescent="0.3">
      <c r="A247" s="1">
        <v>9308506</v>
      </c>
      <c r="B247" s="1" t="s">
        <v>492</v>
      </c>
      <c r="C247" s="1" t="s">
        <v>236</v>
      </c>
      <c r="D247" s="1">
        <v>8047971</v>
      </c>
      <c r="E247" s="1">
        <v>0</v>
      </c>
      <c r="F247" s="1" t="s">
        <v>25</v>
      </c>
      <c r="G247" s="1" t="s">
        <v>349</v>
      </c>
      <c r="H247" s="2">
        <v>40977</v>
      </c>
      <c r="I247" s="1" t="s">
        <v>25</v>
      </c>
      <c r="J247" s="2">
        <v>41222</v>
      </c>
      <c r="K247" s="3"/>
      <c r="L247" s="3">
        <v>75000</v>
      </c>
      <c r="M247" s="3">
        <v>75000</v>
      </c>
      <c r="N247" s="1">
        <v>1</v>
      </c>
      <c r="O247" s="1">
        <v>0</v>
      </c>
      <c r="P247" s="1">
        <v>1</v>
      </c>
      <c r="Q247" s="3"/>
      <c r="R247" s="3"/>
      <c r="S247" s="3">
        <v>75000</v>
      </c>
      <c r="T247" s="1">
        <v>0.67123290000000002</v>
      </c>
      <c r="U247" s="3"/>
      <c r="V247" s="3"/>
      <c r="X247" s="1">
        <v>75000</v>
      </c>
      <c r="Y247" s="22">
        <v>0.67123290000000002</v>
      </c>
      <c r="Z247" s="4">
        <f>Table1[[#This Row],[totalTimeKept]]*$AD$3</f>
        <v>10068.4935</v>
      </c>
      <c r="AA247" s="4">
        <f>Y247-Z247</f>
        <v>-10067.8222671</v>
      </c>
    </row>
    <row r="248" spans="1:27" x14ac:dyDescent="0.3">
      <c r="A248" s="1">
        <v>9310367</v>
      </c>
      <c r="B248" s="1" t="s">
        <v>493</v>
      </c>
      <c r="C248" s="1" t="s">
        <v>494</v>
      </c>
      <c r="D248" s="1">
        <v>6455790</v>
      </c>
      <c r="E248" s="1">
        <v>0</v>
      </c>
      <c r="F248" s="1" t="s">
        <v>139</v>
      </c>
      <c r="G248" s="1" t="s">
        <v>25</v>
      </c>
      <c r="H248" s="2">
        <v>40939</v>
      </c>
      <c r="I248" s="2">
        <v>42682</v>
      </c>
      <c r="J248" s="2" t="s">
        <v>25</v>
      </c>
      <c r="K248" s="3">
        <v>350000</v>
      </c>
      <c r="L248" s="3"/>
      <c r="M248" s="3">
        <v>-350000</v>
      </c>
      <c r="N248" s="1">
        <v>0</v>
      </c>
      <c r="O248" s="1">
        <v>1</v>
      </c>
      <c r="P248" s="1">
        <v>0</v>
      </c>
      <c r="Q248" s="3">
        <v>0</v>
      </c>
      <c r="R248" s="3"/>
      <c r="S248" s="3">
        <v>-350000</v>
      </c>
      <c r="T248" s="1">
        <v>8.2821920000000002</v>
      </c>
      <c r="U248" s="3"/>
      <c r="V248" s="3"/>
      <c r="X248" s="1">
        <v>-350000</v>
      </c>
      <c r="Y248" s="22">
        <v>8.2821920000000002</v>
      </c>
      <c r="Z248" s="4">
        <f>Table1[[#This Row],[totalTimeKept]]*$AD$3</f>
        <v>124232.88</v>
      </c>
      <c r="AA248" s="4">
        <f>Y248-Z248</f>
        <v>-124224.59780800001</v>
      </c>
    </row>
    <row r="249" spans="1:27" x14ac:dyDescent="0.3">
      <c r="A249" s="1">
        <v>9314770</v>
      </c>
      <c r="B249" s="1" t="s">
        <v>495</v>
      </c>
      <c r="C249" s="1" t="s">
        <v>496</v>
      </c>
      <c r="D249" s="1">
        <v>1445331</v>
      </c>
      <c r="E249" s="1">
        <v>0</v>
      </c>
      <c r="F249" s="1" t="s">
        <v>24</v>
      </c>
      <c r="G249" s="1" t="s">
        <v>24</v>
      </c>
      <c r="H249" s="2">
        <v>40994</v>
      </c>
      <c r="I249" s="2">
        <v>43411</v>
      </c>
      <c r="J249" s="2">
        <v>43871</v>
      </c>
      <c r="K249" s="3">
        <v>200000</v>
      </c>
      <c r="L249" s="3">
        <v>32000</v>
      </c>
      <c r="M249" s="3">
        <v>-168000</v>
      </c>
      <c r="N249" s="1">
        <v>0</v>
      </c>
      <c r="O249" s="1">
        <v>1</v>
      </c>
      <c r="P249" s="1">
        <v>1</v>
      </c>
      <c r="Q249" s="3">
        <v>30000</v>
      </c>
      <c r="R249" s="3"/>
      <c r="S249" s="3">
        <v>-198000</v>
      </c>
      <c r="T249" s="1">
        <v>1.2602739999999999</v>
      </c>
      <c r="U249" s="3"/>
      <c r="V249" s="3"/>
      <c r="X249" s="1">
        <v>-198000</v>
      </c>
      <c r="Y249" s="22">
        <v>1.2602739999999999</v>
      </c>
      <c r="Z249" s="4">
        <f>Table1[[#This Row],[totalTimeKept]]*$AD$3</f>
        <v>18904.109999999997</v>
      </c>
      <c r="AA249" s="4">
        <f>Y249-Z249</f>
        <v>-18902.849725999997</v>
      </c>
    </row>
    <row r="250" spans="1:27" x14ac:dyDescent="0.3">
      <c r="A250" s="1">
        <v>9315639</v>
      </c>
      <c r="B250" s="1" t="s">
        <v>497</v>
      </c>
      <c r="C250" s="1" t="s">
        <v>498</v>
      </c>
      <c r="D250" s="1">
        <v>6171456</v>
      </c>
      <c r="E250" s="1">
        <v>0</v>
      </c>
      <c r="F250" s="1" t="s">
        <v>25</v>
      </c>
      <c r="G250" s="1" t="s">
        <v>349</v>
      </c>
      <c r="H250" s="2">
        <v>40953</v>
      </c>
      <c r="I250" s="1" t="s">
        <v>25</v>
      </c>
      <c r="J250" s="2">
        <v>41225</v>
      </c>
      <c r="K250" s="3"/>
      <c r="L250" s="3">
        <v>14000</v>
      </c>
      <c r="M250" s="3">
        <v>14000</v>
      </c>
      <c r="N250" s="1">
        <v>1</v>
      </c>
      <c r="O250" s="1">
        <v>0</v>
      </c>
      <c r="P250" s="1">
        <v>1</v>
      </c>
      <c r="Q250" s="3"/>
      <c r="R250" s="3"/>
      <c r="S250" s="3">
        <v>14000</v>
      </c>
      <c r="T250" s="1">
        <v>0.74520549999999997</v>
      </c>
      <c r="U250" s="3"/>
      <c r="V250" s="3"/>
      <c r="X250" s="1">
        <v>14000</v>
      </c>
      <c r="Y250" s="22">
        <v>0.74520549999999997</v>
      </c>
      <c r="Z250" s="4">
        <f>Table1[[#This Row],[totalTimeKept]]*$AD$3</f>
        <v>11178.082499999999</v>
      </c>
      <c r="AA250" s="4">
        <f>Y250-Z250</f>
        <v>-11177.337294499999</v>
      </c>
    </row>
    <row r="251" spans="1:27" x14ac:dyDescent="0.3">
      <c r="A251" s="1">
        <v>9316111</v>
      </c>
      <c r="B251" s="1" t="s">
        <v>499</v>
      </c>
      <c r="C251" s="1" t="s">
        <v>500</v>
      </c>
      <c r="D251" s="1">
        <v>6543138</v>
      </c>
      <c r="E251" s="1">
        <v>0</v>
      </c>
      <c r="F251" s="1" t="s">
        <v>139</v>
      </c>
      <c r="G251" s="1" t="s">
        <v>25</v>
      </c>
      <c r="H251" s="2">
        <v>40996</v>
      </c>
      <c r="I251" s="2">
        <v>42682</v>
      </c>
      <c r="J251" s="2" t="s">
        <v>25</v>
      </c>
      <c r="K251" s="3">
        <v>350000</v>
      </c>
      <c r="L251" s="3"/>
      <c r="M251" s="3">
        <v>-350000</v>
      </c>
      <c r="N251" s="1">
        <v>0</v>
      </c>
      <c r="O251" s="1">
        <v>1</v>
      </c>
      <c r="P251" s="1">
        <v>0</v>
      </c>
      <c r="Q251" s="3">
        <v>41111.11</v>
      </c>
      <c r="R251" s="3"/>
      <c r="S251" s="3">
        <v>-391111.1</v>
      </c>
      <c r="T251" s="1">
        <v>8.2821920000000002</v>
      </c>
      <c r="U251" s="3"/>
      <c r="V251" s="3"/>
      <c r="X251" s="1">
        <v>-391111.1</v>
      </c>
      <c r="Y251" s="22">
        <v>8.2821920000000002</v>
      </c>
      <c r="Z251" s="4">
        <f>Table1[[#This Row],[totalTimeKept]]*$AD$3</f>
        <v>124232.88</v>
      </c>
      <c r="AA251" s="4">
        <f>Y251-Z251</f>
        <v>-124224.59780800001</v>
      </c>
    </row>
    <row r="252" spans="1:27" x14ac:dyDescent="0.3">
      <c r="A252" s="1">
        <v>9316569</v>
      </c>
      <c r="B252" s="1" t="s">
        <v>501</v>
      </c>
      <c r="C252" s="1" t="s">
        <v>502</v>
      </c>
      <c r="D252" s="1">
        <v>4026221</v>
      </c>
      <c r="E252" s="1">
        <v>0</v>
      </c>
      <c r="F252" s="1" t="s">
        <v>25</v>
      </c>
      <c r="G252" s="1" t="s">
        <v>292</v>
      </c>
      <c r="H252" s="2">
        <v>40988</v>
      </c>
      <c r="I252" s="2" t="s">
        <v>25</v>
      </c>
      <c r="J252" s="2">
        <v>41809</v>
      </c>
      <c r="K252" s="3"/>
      <c r="L252" s="3">
        <v>500000</v>
      </c>
      <c r="M252" s="3">
        <v>500000</v>
      </c>
      <c r="N252" s="1">
        <v>1</v>
      </c>
      <c r="O252" s="1">
        <v>0</v>
      </c>
      <c r="P252" s="1">
        <v>1</v>
      </c>
      <c r="Q252" s="3"/>
      <c r="R252" s="3"/>
      <c r="S252" s="3">
        <v>500000</v>
      </c>
      <c r="T252" s="1">
        <v>2.2493150000000002</v>
      </c>
      <c r="U252" s="3"/>
      <c r="V252" s="3"/>
      <c r="X252" s="1">
        <v>500000</v>
      </c>
      <c r="Y252" s="22">
        <v>2.2493150000000002</v>
      </c>
      <c r="Z252" s="4">
        <f>Table1[[#This Row],[totalTimeKept]]*$AD$3</f>
        <v>33739.725000000006</v>
      </c>
      <c r="AA252" s="4">
        <f>Y252-Z252</f>
        <v>-33737.475685000005</v>
      </c>
    </row>
    <row r="253" spans="1:27" x14ac:dyDescent="0.3">
      <c r="A253" s="1">
        <v>9316586</v>
      </c>
      <c r="B253" s="1" t="s">
        <v>503</v>
      </c>
      <c r="C253" s="1" t="s">
        <v>330</v>
      </c>
      <c r="D253" s="1">
        <v>4031549</v>
      </c>
      <c r="E253" s="1">
        <v>0</v>
      </c>
      <c r="F253" s="1" t="s">
        <v>25</v>
      </c>
      <c r="G253" s="1" t="s">
        <v>46</v>
      </c>
      <c r="H253" s="2">
        <v>40990</v>
      </c>
      <c r="I253" s="1" t="s">
        <v>25</v>
      </c>
      <c r="J253" s="2">
        <v>41528</v>
      </c>
      <c r="K253" s="3"/>
      <c r="L253" s="3">
        <v>1400000</v>
      </c>
      <c r="M253" s="3">
        <v>1400000</v>
      </c>
      <c r="N253" s="1">
        <v>1</v>
      </c>
      <c r="O253" s="1">
        <v>0</v>
      </c>
      <c r="P253" s="1">
        <v>1</v>
      </c>
      <c r="Q253" s="3"/>
      <c r="R253" s="3"/>
      <c r="S253" s="3">
        <v>1400000</v>
      </c>
      <c r="T253" s="1">
        <v>1.473973</v>
      </c>
      <c r="U253" s="3"/>
      <c r="V253" s="3"/>
      <c r="X253" s="1">
        <v>1400000</v>
      </c>
      <c r="Y253" s="22">
        <v>1.473973</v>
      </c>
      <c r="Z253" s="4">
        <f>Table1[[#This Row],[totalTimeKept]]*$AD$3</f>
        <v>22109.595000000001</v>
      </c>
      <c r="AA253" s="4">
        <f>Y253-Z253</f>
        <v>-22108.121027000001</v>
      </c>
    </row>
    <row r="254" spans="1:27" x14ac:dyDescent="0.3">
      <c r="A254" s="1">
        <v>9317974</v>
      </c>
      <c r="B254" s="1" t="s">
        <v>504</v>
      </c>
      <c r="C254" s="1" t="s">
        <v>61</v>
      </c>
      <c r="D254" s="1">
        <v>4830628</v>
      </c>
      <c r="E254" s="1">
        <v>0</v>
      </c>
      <c r="F254" s="1" t="s">
        <v>25</v>
      </c>
      <c r="G254" s="1" t="s">
        <v>292</v>
      </c>
      <c r="H254" s="2">
        <v>41000</v>
      </c>
      <c r="I254" s="2" t="s">
        <v>25</v>
      </c>
      <c r="J254" s="2">
        <v>41751</v>
      </c>
      <c r="K254" s="3"/>
      <c r="L254" s="3">
        <v>60000</v>
      </c>
      <c r="M254" s="3">
        <v>60000</v>
      </c>
      <c r="N254" s="1">
        <v>1</v>
      </c>
      <c r="O254" s="1">
        <v>0</v>
      </c>
      <c r="P254" s="1">
        <v>1</v>
      </c>
      <c r="Q254" s="3"/>
      <c r="R254" s="3"/>
      <c r="S254" s="3">
        <v>60000</v>
      </c>
      <c r="T254" s="1">
        <v>2.057534</v>
      </c>
      <c r="U254" s="3"/>
      <c r="V254" s="3"/>
      <c r="X254" s="1">
        <v>60000</v>
      </c>
      <c r="Y254" s="22">
        <v>2.057534</v>
      </c>
      <c r="Z254" s="4">
        <f>Table1[[#This Row],[totalTimeKept]]*$AD$3</f>
        <v>30863.01</v>
      </c>
      <c r="AA254" s="4">
        <f>Y254-Z254</f>
        <v>-30860.952465999999</v>
      </c>
    </row>
    <row r="255" spans="1:27" x14ac:dyDescent="0.3">
      <c r="A255" s="1">
        <v>9317984</v>
      </c>
      <c r="B255" s="1" t="s">
        <v>505</v>
      </c>
      <c r="C255" s="1" t="s">
        <v>185</v>
      </c>
      <c r="D255" s="1">
        <v>7690741</v>
      </c>
      <c r="E255" s="1">
        <v>0</v>
      </c>
      <c r="F255" s="1" t="s">
        <v>25</v>
      </c>
      <c r="G255" s="1" t="s">
        <v>25</v>
      </c>
      <c r="H255" s="2">
        <v>40997</v>
      </c>
      <c r="I255" s="1" t="s">
        <v>25</v>
      </c>
      <c r="J255" s="2" t="s">
        <v>25</v>
      </c>
      <c r="K255" s="3"/>
      <c r="L255" s="3"/>
      <c r="M255" s="3">
        <v>0</v>
      </c>
      <c r="N255" s="1">
        <v>1</v>
      </c>
      <c r="P255" s="1">
        <v>0</v>
      </c>
      <c r="Q255" s="3"/>
      <c r="R255" s="3"/>
      <c r="S255" s="3">
        <v>0</v>
      </c>
      <c r="T255" s="1">
        <v>12.898630000000001</v>
      </c>
      <c r="U255" s="3"/>
      <c r="V255" s="3"/>
      <c r="X255" s="1">
        <v>0</v>
      </c>
      <c r="Y255" s="22">
        <v>12.898630000000001</v>
      </c>
      <c r="Z255" s="4">
        <f>Table1[[#This Row],[totalTimeKept]]*$AD$3</f>
        <v>193479.45</v>
      </c>
      <c r="AA255" s="4">
        <f>Y255-Z255</f>
        <v>-193466.55137</v>
      </c>
    </row>
    <row r="256" spans="1:27" x14ac:dyDescent="0.3">
      <c r="A256" s="1">
        <v>9319611</v>
      </c>
      <c r="B256" s="1" t="s">
        <v>506</v>
      </c>
      <c r="C256" s="1" t="s">
        <v>507</v>
      </c>
      <c r="D256" s="1">
        <v>6173154</v>
      </c>
      <c r="E256" s="1">
        <v>0</v>
      </c>
      <c r="F256" s="1" t="s">
        <v>139</v>
      </c>
      <c r="G256" s="1" t="s">
        <v>24</v>
      </c>
      <c r="H256" s="2">
        <v>40984</v>
      </c>
      <c r="I256" s="2">
        <v>42562</v>
      </c>
      <c r="J256" s="2">
        <v>43614</v>
      </c>
      <c r="K256" s="3">
        <v>55000</v>
      </c>
      <c r="L256" s="3">
        <v>166152</v>
      </c>
      <c r="M256" s="3">
        <v>111152</v>
      </c>
      <c r="N256" s="1">
        <v>0</v>
      </c>
      <c r="O256" s="1">
        <v>1</v>
      </c>
      <c r="P256" s="1">
        <v>1</v>
      </c>
      <c r="Q256" s="3">
        <v>50000</v>
      </c>
      <c r="R256" s="3"/>
      <c r="S256" s="3">
        <v>61152</v>
      </c>
      <c r="T256" s="1">
        <v>2.8821919999999999</v>
      </c>
      <c r="U256" s="3">
        <v>35000</v>
      </c>
      <c r="V256" s="3">
        <v>0</v>
      </c>
      <c r="W256" s="1">
        <v>1.6301369999999999</v>
      </c>
      <c r="X256" s="1">
        <v>96152</v>
      </c>
      <c r="Y256" s="22">
        <v>4.5123290000000003</v>
      </c>
      <c r="Z256" s="4">
        <f>Table1[[#This Row],[totalTimeKept]]*$AD$3</f>
        <v>67684.934999999998</v>
      </c>
      <c r="AA256" s="4">
        <f>Y256-Z256</f>
        <v>-67680.422670999993</v>
      </c>
    </row>
    <row r="257" spans="1:27" x14ac:dyDescent="0.3">
      <c r="A257" s="1">
        <v>9319695</v>
      </c>
      <c r="B257" s="1" t="s">
        <v>508</v>
      </c>
      <c r="C257" s="1" t="s">
        <v>209</v>
      </c>
      <c r="D257" s="1">
        <v>7760304</v>
      </c>
      <c r="E257" s="1">
        <v>0</v>
      </c>
      <c r="F257" s="1" t="s">
        <v>25</v>
      </c>
      <c r="G257" s="1" t="s">
        <v>349</v>
      </c>
      <c r="H257" s="2">
        <v>40998</v>
      </c>
      <c r="I257" s="1" t="s">
        <v>25</v>
      </c>
      <c r="J257" s="2">
        <v>41224</v>
      </c>
      <c r="K257" s="3"/>
      <c r="L257" s="3">
        <v>105000</v>
      </c>
      <c r="M257" s="3">
        <v>105000</v>
      </c>
      <c r="N257" s="1">
        <v>1</v>
      </c>
      <c r="O257" s="1">
        <v>0</v>
      </c>
      <c r="P257" s="1">
        <v>1</v>
      </c>
      <c r="Q257" s="3"/>
      <c r="R257" s="3"/>
      <c r="S257" s="3">
        <v>105000</v>
      </c>
      <c r="T257" s="1">
        <v>0.61917809999999995</v>
      </c>
      <c r="U257" s="3"/>
      <c r="V257" s="3"/>
      <c r="X257" s="1">
        <v>105000</v>
      </c>
      <c r="Y257" s="22">
        <v>0.61917809999999995</v>
      </c>
      <c r="Z257" s="4">
        <f>Table1[[#This Row],[totalTimeKept]]*$AD$3</f>
        <v>9287.6714999999986</v>
      </c>
      <c r="AA257" s="4">
        <f>Y257-Z257</f>
        <v>-9287.0523218999988</v>
      </c>
    </row>
    <row r="258" spans="1:27" x14ac:dyDescent="0.3">
      <c r="A258" s="1">
        <v>9323752</v>
      </c>
      <c r="B258" s="1" t="s">
        <v>509</v>
      </c>
      <c r="C258" s="1" t="s">
        <v>510</v>
      </c>
      <c r="D258" s="1">
        <v>6892433</v>
      </c>
      <c r="E258" s="1">
        <v>0</v>
      </c>
      <c r="F258" s="1" t="s">
        <v>24</v>
      </c>
      <c r="G258" s="1" t="s">
        <v>24</v>
      </c>
      <c r="H258" s="2">
        <v>41006</v>
      </c>
      <c r="I258" s="2">
        <v>42314</v>
      </c>
      <c r="J258" s="2">
        <v>42688</v>
      </c>
      <c r="K258" s="3">
        <v>75000</v>
      </c>
      <c r="L258" s="3">
        <v>30000</v>
      </c>
      <c r="M258" s="3">
        <v>-45000</v>
      </c>
      <c r="N258" s="1">
        <v>0</v>
      </c>
      <c r="O258" s="1">
        <v>1</v>
      </c>
      <c r="P258" s="1">
        <v>1</v>
      </c>
      <c r="Q258" s="3">
        <v>0</v>
      </c>
      <c r="R258" s="3"/>
      <c r="S258" s="3">
        <v>-45000</v>
      </c>
      <c r="T258" s="1">
        <v>1.0246569999999999</v>
      </c>
      <c r="U258" s="3"/>
      <c r="V258" s="3"/>
      <c r="X258" s="1">
        <v>-45000</v>
      </c>
      <c r="Y258" s="22">
        <v>1.0246569999999999</v>
      </c>
      <c r="Z258" s="4">
        <f>Table1[[#This Row],[totalTimeKept]]*$AD$3</f>
        <v>15369.855</v>
      </c>
      <c r="AA258" s="4">
        <f>Y258-Z258</f>
        <v>-15368.830343</v>
      </c>
    </row>
    <row r="259" spans="1:27" x14ac:dyDescent="0.3">
      <c r="A259" s="1">
        <v>9330675</v>
      </c>
      <c r="B259" s="1" t="s">
        <v>511</v>
      </c>
      <c r="C259" s="1" t="s">
        <v>512</v>
      </c>
      <c r="D259" s="1">
        <v>7462512</v>
      </c>
      <c r="E259" s="1">
        <v>0</v>
      </c>
      <c r="F259" s="1" t="s">
        <v>25</v>
      </c>
      <c r="G259" s="1" t="s">
        <v>46</v>
      </c>
      <c r="H259" s="2">
        <v>41005</v>
      </c>
      <c r="I259" s="1" t="s">
        <v>25</v>
      </c>
      <c r="J259" s="2">
        <v>41532</v>
      </c>
      <c r="K259" s="3"/>
      <c r="L259" s="3">
        <v>45000</v>
      </c>
      <c r="M259" s="3">
        <v>45000</v>
      </c>
      <c r="N259" s="1">
        <v>1</v>
      </c>
      <c r="O259" s="1">
        <v>0</v>
      </c>
      <c r="P259" s="1">
        <v>1</v>
      </c>
      <c r="Q259" s="3"/>
      <c r="R259" s="3"/>
      <c r="S259" s="3">
        <v>45000</v>
      </c>
      <c r="T259" s="1">
        <v>1.4438359999999999</v>
      </c>
      <c r="U259" s="3"/>
      <c r="V259" s="3"/>
      <c r="X259" s="1">
        <v>45000</v>
      </c>
      <c r="Y259" s="22">
        <v>1.4438359999999999</v>
      </c>
      <c r="Z259" s="4">
        <f>Table1[[#This Row],[totalTimeKept]]*$AD$3</f>
        <v>21657.539999999997</v>
      </c>
      <c r="AA259" s="4">
        <f>Y259-Z259</f>
        <v>-21656.096163999999</v>
      </c>
    </row>
    <row r="260" spans="1:27" x14ac:dyDescent="0.3">
      <c r="A260" s="1">
        <v>9332440</v>
      </c>
      <c r="B260" s="1" t="s">
        <v>513</v>
      </c>
      <c r="C260" s="1" t="s">
        <v>514</v>
      </c>
      <c r="D260" s="1">
        <v>6503592</v>
      </c>
      <c r="E260" s="1">
        <v>0</v>
      </c>
      <c r="F260" s="1" t="s">
        <v>139</v>
      </c>
      <c r="G260" s="1" t="s">
        <v>24</v>
      </c>
      <c r="H260" s="2">
        <v>41012</v>
      </c>
      <c r="I260" s="2">
        <v>43046</v>
      </c>
      <c r="J260" s="2">
        <v>43775</v>
      </c>
      <c r="K260" s="3">
        <v>425000</v>
      </c>
      <c r="L260" s="3">
        <v>650000</v>
      </c>
      <c r="M260" s="3">
        <v>225000</v>
      </c>
      <c r="N260" s="1">
        <v>0</v>
      </c>
      <c r="O260" s="1">
        <v>1</v>
      </c>
      <c r="P260" s="1">
        <v>1</v>
      </c>
      <c r="Q260" s="3">
        <v>25000</v>
      </c>
      <c r="R260" s="3"/>
      <c r="S260" s="3">
        <v>200000</v>
      </c>
      <c r="T260" s="1">
        <v>1.99726</v>
      </c>
      <c r="U260" s="3"/>
      <c r="V260" s="3"/>
      <c r="X260" s="1">
        <v>200000</v>
      </c>
      <c r="Y260" s="22">
        <v>1.99726</v>
      </c>
      <c r="Z260" s="4">
        <f>Table1[[#This Row],[totalTimeKept]]*$AD$3</f>
        <v>29958.9</v>
      </c>
      <c r="AA260" s="4">
        <f>Y260-Z260</f>
        <v>-29956.902740000001</v>
      </c>
    </row>
    <row r="261" spans="1:27" x14ac:dyDescent="0.3">
      <c r="A261" s="1">
        <v>9336419</v>
      </c>
      <c r="B261" s="1" t="s">
        <v>515</v>
      </c>
      <c r="C261" s="1" t="s">
        <v>516</v>
      </c>
      <c r="D261" s="1">
        <v>5350485</v>
      </c>
      <c r="E261" s="1">
        <v>0</v>
      </c>
      <c r="F261" s="1" t="s">
        <v>25</v>
      </c>
      <c r="G261" s="1" t="s">
        <v>292</v>
      </c>
      <c r="H261" s="2">
        <v>41015</v>
      </c>
      <c r="I261" s="1" t="s">
        <v>25</v>
      </c>
      <c r="J261" s="2">
        <v>41708</v>
      </c>
      <c r="K261" s="3"/>
      <c r="L261" s="3">
        <v>1600000</v>
      </c>
      <c r="M261" s="3">
        <v>1600000</v>
      </c>
      <c r="N261" s="1">
        <v>1</v>
      </c>
      <c r="O261" s="1">
        <v>0</v>
      </c>
      <c r="P261" s="1">
        <v>1</v>
      </c>
      <c r="Q261" s="3"/>
      <c r="R261" s="3"/>
      <c r="S261" s="3">
        <v>1600000</v>
      </c>
      <c r="T261" s="1">
        <v>1.89863</v>
      </c>
      <c r="U261" s="3"/>
      <c r="V261" s="3"/>
      <c r="X261" s="1">
        <v>1600000</v>
      </c>
      <c r="Y261" s="22">
        <v>1.89863</v>
      </c>
      <c r="Z261" s="4">
        <f>Table1[[#This Row],[totalTimeKept]]*$AD$3</f>
        <v>28479.45</v>
      </c>
      <c r="AA261" s="4">
        <f>Y261-Z261</f>
        <v>-28477.551370000001</v>
      </c>
    </row>
    <row r="262" spans="1:27" x14ac:dyDescent="0.3">
      <c r="A262" s="1">
        <v>9336421</v>
      </c>
      <c r="B262" s="1" t="s">
        <v>517</v>
      </c>
      <c r="C262" s="1" t="s">
        <v>85</v>
      </c>
      <c r="D262" s="1">
        <v>6079769</v>
      </c>
      <c r="E262" s="1">
        <v>0</v>
      </c>
      <c r="F262" s="1" t="s">
        <v>25</v>
      </c>
      <c r="G262" s="1" t="s">
        <v>46</v>
      </c>
      <c r="H262" s="2">
        <v>41016</v>
      </c>
      <c r="I262" s="1" t="s">
        <v>25</v>
      </c>
      <c r="J262" s="2">
        <v>41532</v>
      </c>
      <c r="K262" s="3"/>
      <c r="L262" s="3">
        <v>52000</v>
      </c>
      <c r="M262" s="3">
        <v>52000</v>
      </c>
      <c r="N262" s="1">
        <v>1</v>
      </c>
      <c r="O262" s="1">
        <v>0</v>
      </c>
      <c r="P262" s="1">
        <v>1</v>
      </c>
      <c r="Q262" s="3"/>
      <c r="R262" s="3"/>
      <c r="S262" s="3">
        <v>52000</v>
      </c>
      <c r="T262" s="1">
        <v>1.413699</v>
      </c>
      <c r="U262" s="3"/>
      <c r="V262" s="3"/>
      <c r="X262" s="1">
        <v>52000</v>
      </c>
      <c r="Y262" s="22">
        <v>1.413699</v>
      </c>
      <c r="Z262" s="4">
        <f>Table1[[#This Row],[totalTimeKept]]*$AD$3</f>
        <v>21205.485000000001</v>
      </c>
      <c r="AA262" s="4">
        <f>Y262-Z262</f>
        <v>-21204.071301</v>
      </c>
    </row>
    <row r="263" spans="1:27" x14ac:dyDescent="0.3">
      <c r="A263" s="1">
        <v>9336528</v>
      </c>
      <c r="B263" s="1" t="s">
        <v>518</v>
      </c>
      <c r="C263" s="1" t="s">
        <v>519</v>
      </c>
      <c r="D263" s="1">
        <v>4548127</v>
      </c>
      <c r="E263" s="1">
        <v>165000</v>
      </c>
      <c r="F263" s="1" t="s">
        <v>139</v>
      </c>
      <c r="G263" s="1" t="s">
        <v>139</v>
      </c>
      <c r="H263" s="2">
        <v>40984</v>
      </c>
      <c r="I263" s="2">
        <v>42681</v>
      </c>
      <c r="J263" s="2">
        <v>43045</v>
      </c>
      <c r="K263" s="3">
        <v>900000</v>
      </c>
      <c r="L263" s="3">
        <v>1100000</v>
      </c>
      <c r="M263" s="3">
        <v>200000</v>
      </c>
      <c r="N263" s="1">
        <v>0</v>
      </c>
      <c r="O263" s="1">
        <v>1</v>
      </c>
      <c r="P263" s="1">
        <v>1</v>
      </c>
      <c r="Q263" s="3"/>
      <c r="R263" s="3"/>
      <c r="S263" s="3">
        <v>365000</v>
      </c>
      <c r="T263" s="1">
        <v>0.99726029999999999</v>
      </c>
      <c r="U263" s="3"/>
      <c r="V263" s="3"/>
      <c r="X263" s="1">
        <v>365000</v>
      </c>
      <c r="Y263" s="22">
        <v>0.99726029999999999</v>
      </c>
      <c r="Z263" s="4">
        <f>Table1[[#This Row],[totalTimeKept]]*$AD$3</f>
        <v>14958.904500000001</v>
      </c>
      <c r="AA263" s="4">
        <f>Y263-Z263</f>
        <v>-14957.9072397</v>
      </c>
    </row>
    <row r="264" spans="1:27" x14ac:dyDescent="0.3">
      <c r="A264" s="1">
        <v>9337482</v>
      </c>
      <c r="B264" s="1" t="s">
        <v>520</v>
      </c>
      <c r="C264" s="1" t="s">
        <v>521</v>
      </c>
      <c r="D264" s="1">
        <v>4415799</v>
      </c>
      <c r="E264" s="1">
        <v>0</v>
      </c>
      <c r="F264" s="1" t="s">
        <v>25</v>
      </c>
      <c r="G264" s="1" t="s">
        <v>46</v>
      </c>
      <c r="H264" s="2">
        <v>41024</v>
      </c>
      <c r="I264" s="2" t="s">
        <v>25</v>
      </c>
      <c r="J264" s="2">
        <v>41532</v>
      </c>
      <c r="K264" s="3"/>
      <c r="L264" s="3">
        <v>22000</v>
      </c>
      <c r="M264" s="3">
        <v>22000</v>
      </c>
      <c r="N264" s="1">
        <v>1</v>
      </c>
      <c r="O264" s="1">
        <v>0</v>
      </c>
      <c r="P264" s="1">
        <v>1</v>
      </c>
      <c r="Q264" s="3"/>
      <c r="R264" s="3"/>
      <c r="S264" s="3">
        <v>22000</v>
      </c>
      <c r="T264" s="1">
        <v>1.3917809999999999</v>
      </c>
      <c r="U264" s="3"/>
      <c r="V264" s="3"/>
      <c r="X264" s="1">
        <v>22000</v>
      </c>
      <c r="Y264" s="22">
        <v>1.3917809999999999</v>
      </c>
      <c r="Z264" s="4">
        <f>Table1[[#This Row],[totalTimeKept]]*$AD$3</f>
        <v>20876.715</v>
      </c>
      <c r="AA264" s="4">
        <f>Y264-Z264</f>
        <v>-20875.323219000002</v>
      </c>
    </row>
    <row r="265" spans="1:27" x14ac:dyDescent="0.3">
      <c r="A265" s="1">
        <v>9337483</v>
      </c>
      <c r="B265" s="1" t="s">
        <v>522</v>
      </c>
      <c r="C265" s="1" t="s">
        <v>523</v>
      </c>
      <c r="D265" s="1">
        <v>4657369</v>
      </c>
      <c r="E265" s="1">
        <v>0</v>
      </c>
      <c r="F265" s="1" t="s">
        <v>25</v>
      </c>
      <c r="G265" s="1" t="s">
        <v>46</v>
      </c>
      <c r="H265" s="2">
        <v>41020</v>
      </c>
      <c r="I265" s="1" t="s">
        <v>25</v>
      </c>
      <c r="J265" s="2">
        <v>41281</v>
      </c>
      <c r="K265" s="3"/>
      <c r="L265" s="3">
        <v>35000</v>
      </c>
      <c r="M265" s="3">
        <v>35000</v>
      </c>
      <c r="N265" s="1">
        <v>1</v>
      </c>
      <c r="O265" s="1">
        <v>0</v>
      </c>
      <c r="P265" s="1">
        <v>1</v>
      </c>
      <c r="Q265" s="3"/>
      <c r="R265" s="3"/>
      <c r="S265" s="3">
        <v>35000</v>
      </c>
      <c r="T265" s="1">
        <v>0.7150685</v>
      </c>
      <c r="U265" s="3"/>
      <c r="V265" s="3"/>
      <c r="X265" s="1">
        <v>35000</v>
      </c>
      <c r="Y265" s="22">
        <v>0.7150685</v>
      </c>
      <c r="Z265" s="4">
        <f>Table1[[#This Row],[totalTimeKept]]*$AD$3</f>
        <v>10726.0275</v>
      </c>
      <c r="AA265" s="4">
        <f>Y265-Z265</f>
        <v>-10725.3124315</v>
      </c>
    </row>
    <row r="266" spans="1:27" x14ac:dyDescent="0.3">
      <c r="A266" s="1">
        <v>9340594</v>
      </c>
      <c r="B266" s="1" t="s">
        <v>524</v>
      </c>
      <c r="C266" s="1" t="s">
        <v>437</v>
      </c>
      <c r="D266" s="1">
        <v>7136482</v>
      </c>
      <c r="E266" s="1">
        <v>0</v>
      </c>
      <c r="F266" s="1" t="s">
        <v>25</v>
      </c>
      <c r="G266" s="1" t="s">
        <v>46</v>
      </c>
      <c r="H266" s="2">
        <v>41022</v>
      </c>
      <c r="I266" s="1" t="s">
        <v>25</v>
      </c>
      <c r="J266" s="2">
        <v>41530</v>
      </c>
      <c r="K266" s="3"/>
      <c r="L266" s="3">
        <v>75000</v>
      </c>
      <c r="M266" s="3">
        <v>75000</v>
      </c>
      <c r="N266" s="1">
        <v>1</v>
      </c>
      <c r="O266" s="1">
        <v>0</v>
      </c>
      <c r="P266" s="1">
        <v>1</v>
      </c>
      <c r="Q266" s="3"/>
      <c r="R266" s="3"/>
      <c r="S266" s="3">
        <v>75000</v>
      </c>
      <c r="T266" s="1">
        <v>1.3917809999999999</v>
      </c>
      <c r="U266" s="3"/>
      <c r="V266" s="3"/>
      <c r="X266" s="1">
        <v>75000</v>
      </c>
      <c r="Y266" s="22">
        <v>1.3917809999999999</v>
      </c>
      <c r="Z266" s="4">
        <f>Table1[[#This Row],[totalTimeKept]]*$AD$3</f>
        <v>20876.715</v>
      </c>
      <c r="AA266" s="4">
        <f>Y266-Z266</f>
        <v>-20875.323219000002</v>
      </c>
    </row>
    <row r="267" spans="1:27" x14ac:dyDescent="0.3">
      <c r="A267" s="1">
        <v>9343431</v>
      </c>
      <c r="B267" s="1" t="s">
        <v>525</v>
      </c>
      <c r="C267" s="1" t="s">
        <v>38</v>
      </c>
      <c r="D267" s="1">
        <v>4057138</v>
      </c>
      <c r="E267" s="1">
        <v>0</v>
      </c>
      <c r="F267" s="1" t="s">
        <v>25</v>
      </c>
      <c r="G267" s="1" t="s">
        <v>46</v>
      </c>
      <c r="H267" s="2">
        <v>41041</v>
      </c>
      <c r="I267" s="1" t="s">
        <v>25</v>
      </c>
      <c r="J267" s="2">
        <v>41532</v>
      </c>
      <c r="K267" s="3"/>
      <c r="L267" s="3">
        <v>77000</v>
      </c>
      <c r="M267" s="3">
        <v>77000</v>
      </c>
      <c r="N267" s="1">
        <v>1</v>
      </c>
      <c r="O267" s="1">
        <v>0</v>
      </c>
      <c r="P267" s="1">
        <v>1</v>
      </c>
      <c r="Q267" s="3"/>
      <c r="R267" s="3"/>
      <c r="S267" s="3">
        <v>77000</v>
      </c>
      <c r="T267" s="1">
        <v>1.345205</v>
      </c>
      <c r="U267" s="3"/>
      <c r="V267" s="3"/>
      <c r="X267" s="1">
        <v>77000</v>
      </c>
      <c r="Y267" s="22">
        <v>1.345205</v>
      </c>
      <c r="Z267" s="4">
        <f>Table1[[#This Row],[totalTimeKept]]*$AD$3</f>
        <v>20178.075000000001</v>
      </c>
      <c r="AA267" s="4">
        <f>Y267-Z267</f>
        <v>-20176.729794999999</v>
      </c>
    </row>
    <row r="268" spans="1:27" x14ac:dyDescent="0.3">
      <c r="A268" s="1">
        <v>9343884</v>
      </c>
      <c r="B268" s="1" t="s">
        <v>526</v>
      </c>
      <c r="C268" s="1" t="s">
        <v>527</v>
      </c>
      <c r="D268" s="1">
        <v>7833365</v>
      </c>
      <c r="E268" s="1">
        <v>0</v>
      </c>
      <c r="F268" s="1" t="s">
        <v>25</v>
      </c>
      <c r="G268" s="1" t="s">
        <v>292</v>
      </c>
      <c r="H268" s="2">
        <v>41029</v>
      </c>
      <c r="I268" s="1" t="s">
        <v>25</v>
      </c>
      <c r="J268" s="2">
        <v>41751</v>
      </c>
      <c r="K268" s="3"/>
      <c r="L268" s="3">
        <v>205000</v>
      </c>
      <c r="M268" s="3">
        <v>205000</v>
      </c>
      <c r="N268" s="1">
        <v>1</v>
      </c>
      <c r="O268" s="1">
        <v>0</v>
      </c>
      <c r="P268" s="1">
        <v>1</v>
      </c>
      <c r="Q268" s="3"/>
      <c r="R268" s="3"/>
      <c r="S268" s="3">
        <v>205000</v>
      </c>
      <c r="T268" s="1">
        <v>1.9780819999999999</v>
      </c>
      <c r="U268" s="3"/>
      <c r="V268" s="3"/>
      <c r="X268" s="1">
        <v>205000</v>
      </c>
      <c r="Y268" s="22">
        <v>1.9780819999999999</v>
      </c>
      <c r="Z268" s="4">
        <f>Table1[[#This Row],[totalTimeKept]]*$AD$3</f>
        <v>29671.23</v>
      </c>
      <c r="AA268" s="4">
        <f>Y268-Z268</f>
        <v>-29669.251917999998</v>
      </c>
    </row>
    <row r="269" spans="1:27" x14ac:dyDescent="0.3">
      <c r="A269" s="1">
        <v>9343887</v>
      </c>
      <c r="B269" s="1" t="s">
        <v>528</v>
      </c>
      <c r="C269" s="1" t="s">
        <v>334</v>
      </c>
      <c r="D269" s="1">
        <v>7411150</v>
      </c>
      <c r="E269" s="1">
        <v>0</v>
      </c>
      <c r="F269" s="1" t="s">
        <v>25</v>
      </c>
      <c r="G269" s="1" t="s">
        <v>46</v>
      </c>
      <c r="H269" s="2">
        <v>41038</v>
      </c>
      <c r="I269" s="1" t="s">
        <v>25</v>
      </c>
      <c r="J269" s="2">
        <v>41526</v>
      </c>
      <c r="K269" s="3"/>
      <c r="L269" s="3">
        <v>1100000</v>
      </c>
      <c r="M269" s="3">
        <v>1100000</v>
      </c>
      <c r="N269" s="1">
        <v>1</v>
      </c>
      <c r="O269" s="1">
        <v>0</v>
      </c>
      <c r="P269" s="1">
        <v>1</v>
      </c>
      <c r="Q269" s="3"/>
      <c r="R269" s="3"/>
      <c r="S269" s="3">
        <v>1100000</v>
      </c>
      <c r="T269" s="1">
        <v>1.336986</v>
      </c>
      <c r="U269" s="3"/>
      <c r="V269" s="3"/>
      <c r="X269" s="1">
        <v>1100000</v>
      </c>
      <c r="Y269" s="22">
        <v>1.336986</v>
      </c>
      <c r="Z269" s="4">
        <f>Table1[[#This Row],[totalTimeKept]]*$AD$3</f>
        <v>20054.79</v>
      </c>
      <c r="AA269" s="4">
        <f>Y269-Z269</f>
        <v>-20053.453014000002</v>
      </c>
    </row>
    <row r="270" spans="1:27" x14ac:dyDescent="0.3">
      <c r="A270" s="1">
        <v>9343888</v>
      </c>
      <c r="B270" s="1" t="s">
        <v>529</v>
      </c>
      <c r="C270" s="1" t="s">
        <v>432</v>
      </c>
      <c r="D270" s="1">
        <v>7714380</v>
      </c>
      <c r="E270" s="1">
        <v>0</v>
      </c>
      <c r="F270" s="1" t="s">
        <v>25</v>
      </c>
      <c r="G270" s="1" t="s">
        <v>46</v>
      </c>
      <c r="H270" s="2">
        <v>41046</v>
      </c>
      <c r="I270" s="2" t="s">
        <v>25</v>
      </c>
      <c r="J270" s="2">
        <v>41528</v>
      </c>
      <c r="K270" s="3"/>
      <c r="L270" s="3">
        <v>75000</v>
      </c>
      <c r="M270" s="3">
        <v>75000</v>
      </c>
      <c r="N270" s="1">
        <v>1</v>
      </c>
      <c r="O270" s="1">
        <v>0</v>
      </c>
      <c r="P270" s="1">
        <v>1</v>
      </c>
      <c r="Q270" s="3"/>
      <c r="R270" s="3"/>
      <c r="S270" s="3">
        <v>75000</v>
      </c>
      <c r="T270" s="1">
        <v>1.3205480000000001</v>
      </c>
      <c r="U270" s="3"/>
      <c r="V270" s="3"/>
      <c r="X270" s="1">
        <v>75000</v>
      </c>
      <c r="Y270" s="22">
        <v>1.3205480000000001</v>
      </c>
      <c r="Z270" s="4">
        <f>Table1[[#This Row],[totalTimeKept]]*$AD$3</f>
        <v>19808.22</v>
      </c>
      <c r="AA270" s="4">
        <f>Y270-Z270</f>
        <v>-19806.899452000001</v>
      </c>
    </row>
    <row r="271" spans="1:27" x14ac:dyDescent="0.3">
      <c r="A271" s="1">
        <v>9343906</v>
      </c>
      <c r="B271" s="1" t="s">
        <v>530</v>
      </c>
      <c r="C271" s="1" t="s">
        <v>531</v>
      </c>
      <c r="D271" s="1">
        <v>4630446</v>
      </c>
      <c r="E271" s="1">
        <v>0</v>
      </c>
      <c r="F271" s="1" t="s">
        <v>139</v>
      </c>
      <c r="G271" s="1" t="s">
        <v>25</v>
      </c>
      <c r="H271" s="2">
        <v>41018</v>
      </c>
      <c r="I271" s="2">
        <v>42683</v>
      </c>
      <c r="J271" s="2" t="s">
        <v>25</v>
      </c>
      <c r="K271" s="3">
        <v>370000</v>
      </c>
      <c r="L271" s="3"/>
      <c r="M271" s="3">
        <v>-370000</v>
      </c>
      <c r="N271" s="1">
        <v>0</v>
      </c>
      <c r="O271" s="1">
        <v>1</v>
      </c>
      <c r="P271" s="1">
        <v>0</v>
      </c>
      <c r="Q271" s="3">
        <v>41111.11</v>
      </c>
      <c r="R271" s="3"/>
      <c r="S271" s="3">
        <v>-411111.1</v>
      </c>
      <c r="T271" s="1">
        <v>8.2794519999999991</v>
      </c>
      <c r="U271" s="3"/>
      <c r="V271" s="3"/>
      <c r="X271" s="1">
        <v>-411111.1</v>
      </c>
      <c r="Y271" s="22">
        <v>8.2794519999999991</v>
      </c>
      <c r="Z271" s="4">
        <f>Table1[[#This Row],[totalTimeKept]]*$AD$3</f>
        <v>124191.77999999998</v>
      </c>
      <c r="AA271" s="4">
        <f>Y271-Z271</f>
        <v>-124183.50054799998</v>
      </c>
    </row>
    <row r="272" spans="1:27" x14ac:dyDescent="0.3">
      <c r="A272" s="1">
        <v>9354059</v>
      </c>
      <c r="B272" s="1" t="s">
        <v>532</v>
      </c>
      <c r="C272" s="1" t="s">
        <v>167</v>
      </c>
      <c r="D272" s="1">
        <v>7459596</v>
      </c>
      <c r="E272" s="1">
        <v>0</v>
      </c>
      <c r="F272" s="1" t="s">
        <v>25</v>
      </c>
      <c r="G272" s="1" t="s">
        <v>292</v>
      </c>
      <c r="H272" s="2">
        <v>40960</v>
      </c>
      <c r="I272" s="1" t="s">
        <v>25</v>
      </c>
      <c r="J272" s="2">
        <v>41810</v>
      </c>
      <c r="K272" s="3"/>
      <c r="L272" s="3">
        <v>40000</v>
      </c>
      <c r="M272" s="3">
        <v>40000</v>
      </c>
      <c r="N272" s="1">
        <v>1</v>
      </c>
      <c r="O272" s="1">
        <v>0</v>
      </c>
      <c r="P272" s="1">
        <v>1</v>
      </c>
      <c r="Q272" s="3"/>
      <c r="R272" s="3"/>
      <c r="S272" s="3">
        <v>40000</v>
      </c>
      <c r="T272" s="1">
        <v>2.328767</v>
      </c>
      <c r="U272" s="3"/>
      <c r="V272" s="3"/>
      <c r="X272" s="1">
        <v>40000</v>
      </c>
      <c r="Y272" s="22">
        <v>2.328767</v>
      </c>
      <c r="Z272" s="4">
        <f>Table1[[#This Row],[totalTimeKept]]*$AD$3</f>
        <v>34931.504999999997</v>
      </c>
      <c r="AA272" s="4">
        <f>Y272-Z272</f>
        <v>-34929.176232999998</v>
      </c>
    </row>
    <row r="273" spans="1:27" x14ac:dyDescent="0.3">
      <c r="A273" s="1">
        <v>9358819</v>
      </c>
      <c r="B273" s="1" t="s">
        <v>533</v>
      </c>
      <c r="C273" s="1" t="s">
        <v>281</v>
      </c>
      <c r="D273" s="1">
        <v>5206615</v>
      </c>
      <c r="E273" s="1">
        <v>0</v>
      </c>
      <c r="F273" s="1" t="s">
        <v>139</v>
      </c>
      <c r="G273" s="1" t="s">
        <v>24</v>
      </c>
      <c r="H273" s="2">
        <v>40945</v>
      </c>
      <c r="I273" s="2">
        <v>42409</v>
      </c>
      <c r="J273" s="2">
        <v>43414</v>
      </c>
      <c r="K273" s="3">
        <v>30000</v>
      </c>
      <c r="L273" s="3">
        <v>8000</v>
      </c>
      <c r="M273" s="3">
        <v>-22000</v>
      </c>
      <c r="N273" s="1">
        <v>0</v>
      </c>
      <c r="O273" s="1">
        <v>1</v>
      </c>
      <c r="P273" s="1">
        <v>1</v>
      </c>
      <c r="Q273" s="3">
        <v>130000</v>
      </c>
      <c r="R273" s="3"/>
      <c r="S273" s="3">
        <v>-152000</v>
      </c>
      <c r="T273" s="1">
        <v>2.753425</v>
      </c>
      <c r="U273" s="3"/>
      <c r="V273" s="3"/>
      <c r="X273" s="1">
        <v>-152000</v>
      </c>
      <c r="Y273" s="22">
        <v>2.753425</v>
      </c>
      <c r="Z273" s="4">
        <f>Table1[[#This Row],[totalTimeKept]]*$AD$3</f>
        <v>41301.375</v>
      </c>
      <c r="AA273" s="4">
        <f>Y273-Z273</f>
        <v>-41298.621574999997</v>
      </c>
    </row>
    <row r="274" spans="1:27" x14ac:dyDescent="0.3">
      <c r="A274" s="1">
        <v>9368356</v>
      </c>
      <c r="B274" s="1" t="s">
        <v>534</v>
      </c>
      <c r="C274" s="1" t="s">
        <v>67</v>
      </c>
      <c r="D274" s="1">
        <v>5192419</v>
      </c>
      <c r="E274" s="1">
        <v>0</v>
      </c>
      <c r="F274" s="1" t="s">
        <v>25</v>
      </c>
      <c r="G274" s="1" t="s">
        <v>46</v>
      </c>
      <c r="H274" s="2">
        <v>41026</v>
      </c>
      <c r="I274" s="1" t="s">
        <v>25</v>
      </c>
      <c r="J274" s="2">
        <v>41529</v>
      </c>
      <c r="K274" s="3"/>
      <c r="L274" s="3">
        <v>240000</v>
      </c>
      <c r="M274" s="3">
        <v>240000</v>
      </c>
      <c r="N274" s="1">
        <v>1</v>
      </c>
      <c r="O274" s="1">
        <v>0</v>
      </c>
      <c r="P274" s="1">
        <v>1</v>
      </c>
      <c r="Q274" s="3"/>
      <c r="R274" s="3"/>
      <c r="S274" s="3">
        <v>240000</v>
      </c>
      <c r="T274" s="1">
        <v>1.378082</v>
      </c>
      <c r="U274" s="3"/>
      <c r="V274" s="3"/>
      <c r="X274" s="1">
        <v>240000</v>
      </c>
      <c r="Y274" s="22">
        <v>1.378082</v>
      </c>
      <c r="Z274" s="4">
        <f>Table1[[#This Row],[totalTimeKept]]*$AD$3</f>
        <v>20671.23</v>
      </c>
      <c r="AA274" s="4">
        <f>Y274-Z274</f>
        <v>-20669.851918</v>
      </c>
    </row>
    <row r="275" spans="1:27" x14ac:dyDescent="0.3">
      <c r="A275" s="1">
        <v>9392319</v>
      </c>
      <c r="B275" s="1" t="s">
        <v>535</v>
      </c>
      <c r="C275" s="1" t="s">
        <v>536</v>
      </c>
      <c r="D275" s="1">
        <v>5102441</v>
      </c>
      <c r="E275" s="1">
        <v>0</v>
      </c>
      <c r="F275" s="1" t="s">
        <v>24</v>
      </c>
      <c r="G275" s="1" t="s">
        <v>24</v>
      </c>
      <c r="H275" s="2">
        <v>41035</v>
      </c>
      <c r="I275" s="2">
        <v>42683</v>
      </c>
      <c r="J275" s="2">
        <v>43074</v>
      </c>
      <c r="K275" s="3">
        <v>810000</v>
      </c>
      <c r="L275" s="3">
        <v>1132152</v>
      </c>
      <c r="M275" s="3">
        <v>322152</v>
      </c>
      <c r="N275" s="1">
        <v>0</v>
      </c>
      <c r="O275" s="1">
        <v>1</v>
      </c>
      <c r="P275" s="1">
        <v>1</v>
      </c>
      <c r="Q275" s="3">
        <v>0</v>
      </c>
      <c r="R275" s="3"/>
      <c r="S275" s="3">
        <v>322152</v>
      </c>
      <c r="T275" s="1">
        <v>1.0712330000000001</v>
      </c>
      <c r="U275" s="3"/>
      <c r="V275" s="3"/>
      <c r="X275" s="1">
        <v>322152</v>
      </c>
      <c r="Y275" s="22">
        <v>1.0712330000000001</v>
      </c>
      <c r="Z275" s="4">
        <f>Table1[[#This Row],[totalTimeKept]]*$AD$3</f>
        <v>16068.495000000001</v>
      </c>
      <c r="AA275" s="4">
        <f>Y275-Z275</f>
        <v>-16067.423767</v>
      </c>
    </row>
    <row r="276" spans="1:27" x14ac:dyDescent="0.3">
      <c r="A276" s="1">
        <v>9398090</v>
      </c>
      <c r="B276" s="1" t="s">
        <v>537</v>
      </c>
      <c r="C276" s="1" t="s">
        <v>538</v>
      </c>
      <c r="E276" s="1">
        <v>0</v>
      </c>
      <c r="F276" s="1" t="s">
        <v>139</v>
      </c>
      <c r="G276" s="1" t="s">
        <v>24</v>
      </c>
      <c r="H276" s="2">
        <v>41012</v>
      </c>
      <c r="I276" s="2">
        <v>42194</v>
      </c>
      <c r="J276" s="2">
        <v>43050</v>
      </c>
      <c r="K276" s="3">
        <v>50000</v>
      </c>
      <c r="L276" s="3">
        <v>145000</v>
      </c>
      <c r="M276" s="3">
        <v>95000</v>
      </c>
      <c r="N276" s="1">
        <v>0</v>
      </c>
      <c r="O276" s="1">
        <v>1</v>
      </c>
      <c r="P276" s="1">
        <v>1</v>
      </c>
      <c r="Q276" s="3">
        <v>12500</v>
      </c>
      <c r="R276" s="3"/>
      <c r="S276" s="3">
        <v>82500</v>
      </c>
      <c r="T276" s="1">
        <v>2.3452060000000001</v>
      </c>
      <c r="U276" s="3"/>
      <c r="V276" s="3"/>
      <c r="X276" s="1">
        <v>82500</v>
      </c>
      <c r="Y276" s="22">
        <v>2.3452060000000001</v>
      </c>
      <c r="Z276" s="4">
        <f>Table1[[#This Row],[totalTimeKept]]*$AD$3</f>
        <v>35178.090000000004</v>
      </c>
      <c r="AA276" s="4">
        <f>Y276-Z276</f>
        <v>-35175.744794000006</v>
      </c>
    </row>
    <row r="277" spans="1:27" x14ac:dyDescent="0.3">
      <c r="A277" s="1">
        <v>9402791</v>
      </c>
      <c r="B277" s="1" t="s">
        <v>539</v>
      </c>
      <c r="C277" s="1" t="s">
        <v>540</v>
      </c>
      <c r="D277" s="1">
        <v>7449159</v>
      </c>
      <c r="E277" s="1">
        <v>0</v>
      </c>
      <c r="F277" s="1" t="s">
        <v>139</v>
      </c>
      <c r="G277" s="1" t="s">
        <v>25</v>
      </c>
      <c r="H277" s="2">
        <v>40996</v>
      </c>
      <c r="I277" s="2">
        <v>43048</v>
      </c>
      <c r="J277" s="2" t="s">
        <v>25</v>
      </c>
      <c r="K277" s="3">
        <v>135000</v>
      </c>
      <c r="L277" s="3"/>
      <c r="M277" s="3">
        <v>-135000</v>
      </c>
      <c r="N277" s="1">
        <v>0</v>
      </c>
      <c r="O277" s="1">
        <v>1</v>
      </c>
      <c r="P277" s="1">
        <v>0</v>
      </c>
      <c r="Q277" s="3">
        <v>0</v>
      </c>
      <c r="R277" s="3"/>
      <c r="S277" s="3">
        <v>-135000</v>
      </c>
      <c r="T277" s="1">
        <v>7.279452</v>
      </c>
      <c r="U277" s="3"/>
      <c r="V277" s="3"/>
      <c r="X277" s="1">
        <v>-135000</v>
      </c>
      <c r="Y277" s="22">
        <v>7.279452</v>
      </c>
      <c r="Z277" s="4">
        <f>Table1[[#This Row],[totalTimeKept]]*$AD$3</f>
        <v>109191.78</v>
      </c>
      <c r="AA277" s="4">
        <f>Y277-Z277</f>
        <v>-109184.500548</v>
      </c>
    </row>
    <row r="278" spans="1:27" x14ac:dyDescent="0.3">
      <c r="A278" s="1">
        <v>9405370</v>
      </c>
      <c r="B278" s="1" t="s">
        <v>541</v>
      </c>
      <c r="C278" s="1" t="s">
        <v>542</v>
      </c>
      <c r="D278" s="1">
        <v>6351855</v>
      </c>
      <c r="E278" s="1">
        <v>0</v>
      </c>
      <c r="F278" s="1" t="s">
        <v>25</v>
      </c>
      <c r="G278" s="1" t="s">
        <v>292</v>
      </c>
      <c r="H278" s="2">
        <v>41153</v>
      </c>
      <c r="I278" s="1" t="s">
        <v>25</v>
      </c>
      <c r="J278" s="2">
        <v>41647</v>
      </c>
      <c r="K278" s="3"/>
      <c r="L278" s="3">
        <v>7000</v>
      </c>
      <c r="M278" s="3">
        <v>7000</v>
      </c>
      <c r="N278" s="1">
        <v>1</v>
      </c>
      <c r="O278" s="1">
        <v>0</v>
      </c>
      <c r="P278" s="1">
        <v>1</v>
      </c>
      <c r="Q278" s="3"/>
      <c r="R278" s="3"/>
      <c r="S278" s="3">
        <v>7000</v>
      </c>
      <c r="T278" s="1">
        <v>1.3534250000000001</v>
      </c>
      <c r="U278" s="3"/>
      <c r="V278" s="3"/>
      <c r="X278" s="1">
        <v>7000</v>
      </c>
      <c r="Y278" s="22">
        <v>1.3534250000000001</v>
      </c>
      <c r="Z278" s="4">
        <f>Table1[[#This Row],[totalTimeKept]]*$AD$3</f>
        <v>20301.375</v>
      </c>
      <c r="AA278" s="4">
        <f>Y278-Z278</f>
        <v>-20300.021574999999</v>
      </c>
    </row>
    <row r="279" spans="1:27" x14ac:dyDescent="0.3">
      <c r="A279" s="1">
        <v>9410318</v>
      </c>
      <c r="B279" s="1" t="s">
        <v>543</v>
      </c>
      <c r="C279" s="1" t="s">
        <v>544</v>
      </c>
      <c r="D279" s="1">
        <v>6294008</v>
      </c>
      <c r="E279" s="1">
        <v>0</v>
      </c>
      <c r="F279" s="1" t="s">
        <v>139</v>
      </c>
      <c r="G279" s="1" t="s">
        <v>24</v>
      </c>
      <c r="H279" s="2">
        <v>40618</v>
      </c>
      <c r="I279" s="2">
        <v>42682</v>
      </c>
      <c r="J279" s="2">
        <v>43806</v>
      </c>
      <c r="K279" s="3">
        <v>200000</v>
      </c>
      <c r="L279" s="3">
        <v>331839</v>
      </c>
      <c r="M279" s="3">
        <v>131839</v>
      </c>
      <c r="N279" s="1">
        <v>0</v>
      </c>
      <c r="O279" s="1">
        <v>1</v>
      </c>
      <c r="P279" s="1">
        <v>1</v>
      </c>
      <c r="Q279" s="3">
        <v>20000</v>
      </c>
      <c r="R279" s="3"/>
      <c r="S279" s="3">
        <v>111839</v>
      </c>
      <c r="T279" s="1">
        <v>3.0794519999999999</v>
      </c>
      <c r="U279" s="3"/>
      <c r="V279" s="3"/>
      <c r="X279" s="1">
        <v>111839</v>
      </c>
      <c r="Y279" s="22">
        <v>3.0794519999999999</v>
      </c>
      <c r="Z279" s="4">
        <f>Table1[[#This Row],[totalTimeKept]]*$AD$3</f>
        <v>46191.78</v>
      </c>
      <c r="AA279" s="4">
        <f>Y279-Z279</f>
        <v>-46188.700548000001</v>
      </c>
    </row>
    <row r="280" spans="1:27" x14ac:dyDescent="0.3">
      <c r="A280" s="1">
        <v>9413480</v>
      </c>
      <c r="B280" s="1" t="s">
        <v>545</v>
      </c>
      <c r="C280" s="1" t="s">
        <v>546</v>
      </c>
      <c r="D280" s="1">
        <v>7177434</v>
      </c>
      <c r="E280" s="1">
        <v>0</v>
      </c>
      <c r="F280" s="1" t="s">
        <v>25</v>
      </c>
      <c r="G280" s="1" t="s">
        <v>46</v>
      </c>
      <c r="H280" s="2">
        <v>40618</v>
      </c>
      <c r="I280" s="2" t="s">
        <v>25</v>
      </c>
      <c r="J280" s="2">
        <v>41206</v>
      </c>
      <c r="K280" s="3"/>
      <c r="L280" s="3">
        <v>5194</v>
      </c>
      <c r="M280" s="3">
        <v>5194</v>
      </c>
      <c r="N280" s="1">
        <v>1</v>
      </c>
      <c r="O280" s="1">
        <v>0</v>
      </c>
      <c r="P280" s="1">
        <v>1</v>
      </c>
      <c r="Q280" s="3"/>
      <c r="R280" s="3"/>
      <c r="S280" s="3">
        <v>5194</v>
      </c>
      <c r="T280" s="1">
        <v>1.610959</v>
      </c>
      <c r="U280" s="3"/>
      <c r="V280" s="3"/>
      <c r="X280" s="1">
        <v>5194</v>
      </c>
      <c r="Y280" s="22">
        <v>1.610959</v>
      </c>
      <c r="Z280" s="4">
        <f>Table1[[#This Row],[totalTimeKept]]*$AD$3</f>
        <v>24164.385000000002</v>
      </c>
      <c r="AA280" s="4">
        <f>Y280-Z280</f>
        <v>-24162.774041000001</v>
      </c>
    </row>
    <row r="281" spans="1:27" x14ac:dyDescent="0.3">
      <c r="A281" s="1">
        <v>9460823</v>
      </c>
      <c r="B281" s="1" t="s">
        <v>547</v>
      </c>
      <c r="C281" s="1" t="s">
        <v>171</v>
      </c>
      <c r="D281" s="1">
        <v>7485686</v>
      </c>
      <c r="E281" s="1">
        <v>0</v>
      </c>
      <c r="F281" s="1" t="s">
        <v>25</v>
      </c>
      <c r="G281" s="1" t="s">
        <v>46</v>
      </c>
      <c r="H281" s="2">
        <v>41297</v>
      </c>
      <c r="I281" s="1" t="s">
        <v>25</v>
      </c>
      <c r="J281" s="2">
        <v>41896</v>
      </c>
      <c r="K281" s="3"/>
      <c r="L281" s="3">
        <v>65000</v>
      </c>
      <c r="M281" s="3">
        <v>65000</v>
      </c>
      <c r="N281" s="1">
        <v>1</v>
      </c>
      <c r="O281" s="1">
        <v>0</v>
      </c>
      <c r="P281" s="1">
        <v>1</v>
      </c>
      <c r="Q281" s="3"/>
      <c r="R281" s="3"/>
      <c r="S281" s="3">
        <v>65000</v>
      </c>
      <c r="T281" s="1">
        <v>1.6410960000000001</v>
      </c>
      <c r="U281" s="3"/>
      <c r="V281" s="3"/>
      <c r="X281" s="1">
        <v>65000</v>
      </c>
      <c r="Y281" s="22">
        <v>1.6410960000000001</v>
      </c>
      <c r="Z281" s="4">
        <f>Table1[[#This Row],[totalTimeKept]]*$AD$3</f>
        <v>24616.440000000002</v>
      </c>
      <c r="AA281" s="4">
        <f>Y281-Z281</f>
        <v>-24614.798904000003</v>
      </c>
    </row>
    <row r="282" spans="1:27" x14ac:dyDescent="0.3">
      <c r="A282" s="1">
        <v>9464520</v>
      </c>
      <c r="B282" s="1" t="s">
        <v>548</v>
      </c>
      <c r="C282" s="1" t="s">
        <v>228</v>
      </c>
      <c r="D282" s="1">
        <v>8004572</v>
      </c>
      <c r="E282" s="1">
        <v>0</v>
      </c>
      <c r="F282" s="1" t="s">
        <v>25</v>
      </c>
      <c r="G282" s="1" t="s">
        <v>46</v>
      </c>
      <c r="H282" s="2">
        <v>41295</v>
      </c>
      <c r="I282" s="1" t="s">
        <v>25</v>
      </c>
      <c r="J282" s="2">
        <v>41934</v>
      </c>
      <c r="K282" s="3"/>
      <c r="L282" s="3">
        <v>130000</v>
      </c>
      <c r="M282" s="3">
        <v>130000</v>
      </c>
      <c r="N282" s="1">
        <v>1</v>
      </c>
      <c r="O282" s="1">
        <v>0</v>
      </c>
      <c r="P282" s="1">
        <v>1</v>
      </c>
      <c r="Q282" s="3"/>
      <c r="R282" s="3"/>
      <c r="S282" s="3">
        <v>130000</v>
      </c>
      <c r="T282" s="1">
        <v>1.750685</v>
      </c>
      <c r="U282" s="3"/>
      <c r="V282" s="3"/>
      <c r="X282" s="1">
        <v>130000</v>
      </c>
      <c r="Y282" s="22">
        <v>1.750685</v>
      </c>
      <c r="Z282" s="4">
        <f>Table1[[#This Row],[totalTimeKept]]*$AD$3</f>
        <v>26260.275000000001</v>
      </c>
      <c r="AA282" s="4">
        <f>Y282-Z282</f>
        <v>-26258.524315000002</v>
      </c>
    </row>
    <row r="283" spans="1:27" x14ac:dyDescent="0.3">
      <c r="A283" s="1">
        <v>9464523</v>
      </c>
      <c r="B283" s="1" t="s">
        <v>549</v>
      </c>
      <c r="C283" s="1" t="s">
        <v>137</v>
      </c>
      <c r="D283" s="1">
        <v>7177687</v>
      </c>
      <c r="E283" s="1">
        <v>0</v>
      </c>
      <c r="F283" s="1" t="s">
        <v>25</v>
      </c>
      <c r="G283" s="1" t="s">
        <v>46</v>
      </c>
      <c r="H283" s="2">
        <v>41309</v>
      </c>
      <c r="I283" s="1" t="s">
        <v>25</v>
      </c>
      <c r="J283" s="2">
        <v>41894</v>
      </c>
      <c r="K283" s="3"/>
      <c r="L283" s="3">
        <v>170000</v>
      </c>
      <c r="M283" s="3">
        <v>170000</v>
      </c>
      <c r="N283" s="1">
        <v>1</v>
      </c>
      <c r="O283" s="1">
        <v>0</v>
      </c>
      <c r="P283" s="1">
        <v>1</v>
      </c>
      <c r="Q283" s="3"/>
      <c r="R283" s="3"/>
      <c r="S283" s="3">
        <v>170000</v>
      </c>
      <c r="T283" s="1">
        <v>1.6027400000000001</v>
      </c>
      <c r="U283" s="3"/>
      <c r="V283" s="3"/>
      <c r="X283" s="1">
        <v>170000</v>
      </c>
      <c r="Y283" s="22">
        <v>1.6027400000000001</v>
      </c>
      <c r="Z283" s="4">
        <f>Table1[[#This Row],[totalTimeKept]]*$AD$3</f>
        <v>24041.100000000002</v>
      </c>
      <c r="AA283" s="4">
        <f>Y283-Z283</f>
        <v>-24039.497260000004</v>
      </c>
    </row>
    <row r="284" spans="1:27" x14ac:dyDescent="0.3">
      <c r="A284" s="1">
        <v>9467811</v>
      </c>
      <c r="B284" s="1" t="s">
        <v>550</v>
      </c>
      <c r="C284" s="1" t="s">
        <v>211</v>
      </c>
      <c r="D284" s="1">
        <v>7766245</v>
      </c>
      <c r="E284" s="1">
        <v>0</v>
      </c>
      <c r="F284" s="1" t="s">
        <v>25</v>
      </c>
      <c r="G284" s="1" t="s">
        <v>46</v>
      </c>
      <c r="H284" s="2">
        <v>41313</v>
      </c>
      <c r="I284" s="1" t="s">
        <v>25</v>
      </c>
      <c r="J284" s="2">
        <v>41896</v>
      </c>
      <c r="K284" s="3"/>
      <c r="L284" s="3">
        <v>80000</v>
      </c>
      <c r="M284" s="3">
        <v>80000</v>
      </c>
      <c r="N284" s="1">
        <v>1</v>
      </c>
      <c r="O284" s="1">
        <v>0</v>
      </c>
      <c r="P284" s="1">
        <v>1</v>
      </c>
      <c r="Q284" s="3"/>
      <c r="R284" s="3"/>
      <c r="S284" s="3">
        <v>80000</v>
      </c>
      <c r="T284" s="1">
        <v>1.5972599999999999</v>
      </c>
      <c r="U284" s="3"/>
      <c r="V284" s="3"/>
      <c r="X284" s="1">
        <v>80000</v>
      </c>
      <c r="Y284" s="22">
        <v>1.5972599999999999</v>
      </c>
      <c r="Z284" s="4">
        <f>Table1[[#This Row],[totalTimeKept]]*$AD$3</f>
        <v>23958.899999999998</v>
      </c>
      <c r="AA284" s="4">
        <f>Y284-Z284</f>
        <v>-23957.302739999999</v>
      </c>
    </row>
    <row r="285" spans="1:27" x14ac:dyDescent="0.3">
      <c r="A285" s="1">
        <v>9468666</v>
      </c>
      <c r="B285" s="1" t="s">
        <v>551</v>
      </c>
      <c r="C285" s="1" t="s">
        <v>195</v>
      </c>
      <c r="D285" s="1">
        <v>7728149</v>
      </c>
      <c r="E285" s="1">
        <v>0</v>
      </c>
      <c r="F285" s="1" t="s">
        <v>25</v>
      </c>
      <c r="G285" s="1" t="s">
        <v>46</v>
      </c>
      <c r="H285" s="2">
        <v>41311</v>
      </c>
      <c r="I285" s="1" t="s">
        <v>25</v>
      </c>
      <c r="J285" s="2">
        <v>41893</v>
      </c>
      <c r="K285" s="3"/>
      <c r="L285" s="3">
        <v>190000</v>
      </c>
      <c r="M285" s="3">
        <v>190000</v>
      </c>
      <c r="N285" s="1">
        <v>1</v>
      </c>
      <c r="O285" s="1">
        <v>0</v>
      </c>
      <c r="P285" s="1">
        <v>1</v>
      </c>
      <c r="Q285" s="3"/>
      <c r="R285" s="3"/>
      <c r="S285" s="3">
        <v>190000</v>
      </c>
      <c r="T285" s="1">
        <v>1.5945210000000001</v>
      </c>
      <c r="U285" s="3"/>
      <c r="V285" s="3"/>
      <c r="X285" s="1">
        <v>190000</v>
      </c>
      <c r="Y285" s="22">
        <v>1.5945210000000001</v>
      </c>
      <c r="Z285" s="4">
        <f>Table1[[#This Row],[totalTimeKept]]*$AD$3</f>
        <v>23917.815000000002</v>
      </c>
      <c r="AA285" s="4">
        <f>Y285-Z285</f>
        <v>-23916.220479000003</v>
      </c>
    </row>
    <row r="286" spans="1:27" x14ac:dyDescent="0.3">
      <c r="A286" s="1">
        <v>9470521</v>
      </c>
      <c r="B286" s="1" t="s">
        <v>552</v>
      </c>
      <c r="C286" s="1" t="s">
        <v>553</v>
      </c>
      <c r="D286" s="1">
        <v>8244490</v>
      </c>
      <c r="E286" s="1">
        <v>0</v>
      </c>
      <c r="F286" s="1" t="s">
        <v>25</v>
      </c>
      <c r="G286" s="1" t="s">
        <v>46</v>
      </c>
      <c r="H286" s="2">
        <v>41317</v>
      </c>
      <c r="I286" s="1" t="s">
        <v>25</v>
      </c>
      <c r="J286" s="2">
        <v>41891</v>
      </c>
      <c r="K286" s="3"/>
      <c r="L286" s="3">
        <v>110000</v>
      </c>
      <c r="M286" s="3">
        <v>110000</v>
      </c>
      <c r="N286" s="1">
        <v>1</v>
      </c>
      <c r="O286" s="1">
        <v>0</v>
      </c>
      <c r="P286" s="1">
        <v>1</v>
      </c>
      <c r="Q286" s="3"/>
      <c r="R286" s="3"/>
      <c r="S286" s="3">
        <v>110000</v>
      </c>
      <c r="T286" s="1">
        <v>1.572603</v>
      </c>
      <c r="U286" s="3"/>
      <c r="V286" s="3"/>
      <c r="X286" s="1">
        <v>110000</v>
      </c>
      <c r="Y286" s="22">
        <v>1.572603</v>
      </c>
      <c r="Z286" s="4">
        <f>Table1[[#This Row],[totalTimeKept]]*$AD$3</f>
        <v>23589.044999999998</v>
      </c>
      <c r="AA286" s="4">
        <f>Y286-Z286</f>
        <v>-23587.472396999998</v>
      </c>
    </row>
    <row r="287" spans="1:27" x14ac:dyDescent="0.3">
      <c r="A287" s="1">
        <v>9473300</v>
      </c>
      <c r="B287" s="1" t="s">
        <v>554</v>
      </c>
      <c r="C287" s="1" t="s">
        <v>254</v>
      </c>
      <c r="D287" s="1">
        <v>8271232</v>
      </c>
      <c r="E287" s="1">
        <v>0</v>
      </c>
      <c r="F287" s="1" t="s">
        <v>25</v>
      </c>
      <c r="G287" s="1" t="s">
        <v>46</v>
      </c>
      <c r="H287" s="2">
        <v>41289</v>
      </c>
      <c r="I287" s="1" t="s">
        <v>25</v>
      </c>
      <c r="J287" s="2">
        <v>41648</v>
      </c>
      <c r="K287" s="3"/>
      <c r="L287" s="3">
        <v>12000</v>
      </c>
      <c r="M287" s="3">
        <v>12000</v>
      </c>
      <c r="N287" s="1">
        <v>1</v>
      </c>
      <c r="O287" s="1">
        <v>0</v>
      </c>
      <c r="P287" s="1">
        <v>1</v>
      </c>
      <c r="Q287" s="3"/>
      <c r="R287" s="3"/>
      <c r="S287" s="3">
        <v>12000</v>
      </c>
      <c r="T287" s="1">
        <v>0.98356160000000004</v>
      </c>
      <c r="U287" s="3"/>
      <c r="V287" s="3"/>
      <c r="X287" s="1">
        <v>12000</v>
      </c>
      <c r="Y287" s="22">
        <v>0.98356160000000004</v>
      </c>
      <c r="Z287" s="4">
        <f>Table1[[#This Row],[totalTimeKept]]*$AD$3</f>
        <v>14753.424000000001</v>
      </c>
      <c r="AA287" s="4">
        <f>Y287-Z287</f>
        <v>-14752.440438400001</v>
      </c>
    </row>
    <row r="288" spans="1:27" x14ac:dyDescent="0.3">
      <c r="A288" s="1">
        <v>9473720</v>
      </c>
      <c r="B288" s="1" t="s">
        <v>555</v>
      </c>
      <c r="C288" s="1" t="s">
        <v>556</v>
      </c>
      <c r="D288" s="1">
        <v>8329250</v>
      </c>
      <c r="E288" s="1">
        <v>0</v>
      </c>
      <c r="F288" s="1" t="s">
        <v>24</v>
      </c>
      <c r="G288" s="1" t="s">
        <v>25</v>
      </c>
      <c r="H288" s="2">
        <v>41325</v>
      </c>
      <c r="I288" s="2">
        <v>44509</v>
      </c>
      <c r="J288" s="1" t="s">
        <v>25</v>
      </c>
      <c r="K288" s="3">
        <v>110000</v>
      </c>
      <c r="L288" s="3"/>
      <c r="M288" s="3">
        <v>-110000</v>
      </c>
      <c r="N288" s="1">
        <v>0</v>
      </c>
      <c r="O288" s="1">
        <v>1</v>
      </c>
      <c r="P288" s="1">
        <v>0</v>
      </c>
      <c r="Q288" s="3">
        <v>0</v>
      </c>
      <c r="R288" s="3"/>
      <c r="S288" s="3">
        <v>-110000</v>
      </c>
      <c r="T288" s="1">
        <v>3.2767119999999998</v>
      </c>
      <c r="U288" s="3"/>
      <c r="V288" s="3"/>
      <c r="X288" s="1">
        <v>-110000</v>
      </c>
      <c r="Y288" s="22">
        <v>3.2767119999999998</v>
      </c>
      <c r="Z288" s="4">
        <f>Table1[[#This Row],[totalTimeKept]]*$AD$3</f>
        <v>49150.68</v>
      </c>
      <c r="AA288" s="4">
        <f>Y288-Z288</f>
        <v>-49147.403288000001</v>
      </c>
    </row>
    <row r="289" spans="1:27" x14ac:dyDescent="0.3">
      <c r="A289" s="1">
        <v>9477247</v>
      </c>
      <c r="B289" s="1" t="s">
        <v>557</v>
      </c>
      <c r="C289" s="1" t="s">
        <v>348</v>
      </c>
      <c r="D289" s="1">
        <v>7778152</v>
      </c>
      <c r="E289" s="1">
        <v>0</v>
      </c>
      <c r="F289" s="1" t="s">
        <v>25</v>
      </c>
      <c r="G289" s="1" t="s">
        <v>46</v>
      </c>
      <c r="H289" s="2">
        <v>41326</v>
      </c>
      <c r="I289" s="1" t="s">
        <v>25</v>
      </c>
      <c r="J289" s="2">
        <v>41893</v>
      </c>
      <c r="K289" s="3"/>
      <c r="L289" s="3">
        <v>200000</v>
      </c>
      <c r="M289" s="3">
        <v>200000</v>
      </c>
      <c r="N289" s="1">
        <v>1</v>
      </c>
      <c r="O289" s="1">
        <v>0</v>
      </c>
      <c r="P289" s="1">
        <v>1</v>
      </c>
      <c r="Q289" s="3"/>
      <c r="R289" s="3"/>
      <c r="S289" s="3">
        <v>200000</v>
      </c>
      <c r="T289" s="1">
        <v>1.5534250000000001</v>
      </c>
      <c r="U289" s="3"/>
      <c r="V289" s="3"/>
      <c r="X289" s="1">
        <v>200000</v>
      </c>
      <c r="Y289" s="22">
        <v>1.5534250000000001</v>
      </c>
      <c r="Z289" s="4">
        <f>Table1[[#This Row],[totalTimeKept]]*$AD$3</f>
        <v>23301.375</v>
      </c>
      <c r="AA289" s="4">
        <f>Y289-Z289</f>
        <v>-23299.821575000002</v>
      </c>
    </row>
    <row r="290" spans="1:27" x14ac:dyDescent="0.3">
      <c r="A290" s="1">
        <v>9478468</v>
      </c>
      <c r="B290" s="1" t="s">
        <v>558</v>
      </c>
      <c r="C290" s="1" t="s">
        <v>36</v>
      </c>
      <c r="D290" s="1">
        <v>4038272</v>
      </c>
      <c r="E290" s="1">
        <v>0</v>
      </c>
      <c r="F290" s="1" t="s">
        <v>25</v>
      </c>
      <c r="G290" s="1" t="s">
        <v>46</v>
      </c>
      <c r="H290" s="2">
        <v>41331</v>
      </c>
      <c r="I290" s="2" t="s">
        <v>25</v>
      </c>
      <c r="J290" s="2">
        <v>41933</v>
      </c>
      <c r="K290" s="3"/>
      <c r="L290" s="3">
        <v>400000</v>
      </c>
      <c r="M290" s="3">
        <v>400000</v>
      </c>
      <c r="N290" s="1">
        <v>1</v>
      </c>
      <c r="O290" s="1">
        <v>0</v>
      </c>
      <c r="P290" s="1">
        <v>1</v>
      </c>
      <c r="Q290" s="3"/>
      <c r="R290" s="3"/>
      <c r="S290" s="3">
        <v>400000</v>
      </c>
      <c r="T290" s="1">
        <v>1.6493150000000001</v>
      </c>
      <c r="U290" s="3"/>
      <c r="V290" s="3"/>
      <c r="X290" s="1">
        <v>400000</v>
      </c>
      <c r="Y290" s="22">
        <v>1.6493150000000001</v>
      </c>
      <c r="Z290" s="4">
        <f>Table1[[#This Row],[totalTimeKept]]*$AD$3</f>
        <v>24739.725000000002</v>
      </c>
      <c r="AA290" s="4">
        <f>Y290-Z290</f>
        <v>-24738.075685000003</v>
      </c>
    </row>
    <row r="291" spans="1:27" x14ac:dyDescent="0.3">
      <c r="A291" s="1">
        <v>9479797</v>
      </c>
      <c r="B291" s="1" t="s">
        <v>559</v>
      </c>
      <c r="C291" s="1" t="s">
        <v>560</v>
      </c>
      <c r="D291" s="1">
        <v>7975154</v>
      </c>
      <c r="E291" s="1">
        <v>0</v>
      </c>
      <c r="F291" s="1" t="s">
        <v>25</v>
      </c>
      <c r="G291" s="1" t="s">
        <v>349</v>
      </c>
      <c r="H291" s="2">
        <v>41340</v>
      </c>
      <c r="I291" s="2" t="s">
        <v>25</v>
      </c>
      <c r="J291" s="2">
        <v>41585</v>
      </c>
      <c r="K291" s="3"/>
      <c r="L291" s="3">
        <v>220000</v>
      </c>
      <c r="M291" s="3">
        <v>220000</v>
      </c>
      <c r="N291" s="1">
        <v>1</v>
      </c>
      <c r="O291" s="1">
        <v>0</v>
      </c>
      <c r="P291" s="1">
        <v>1</v>
      </c>
      <c r="Q291" s="3"/>
      <c r="R291" s="3"/>
      <c r="S291" s="3">
        <v>220000</v>
      </c>
      <c r="T291" s="1">
        <v>0.67123290000000002</v>
      </c>
      <c r="U291" s="3"/>
      <c r="V291" s="3"/>
      <c r="X291" s="1">
        <v>220000</v>
      </c>
      <c r="Y291" s="22">
        <v>0.67123290000000002</v>
      </c>
      <c r="Z291" s="4">
        <f>Table1[[#This Row],[totalTimeKept]]*$AD$3</f>
        <v>10068.4935</v>
      </c>
      <c r="AA291" s="4">
        <f>Y291-Z291</f>
        <v>-10067.8222671</v>
      </c>
    </row>
    <row r="292" spans="1:27" x14ac:dyDescent="0.3">
      <c r="A292" s="1">
        <v>9480939</v>
      </c>
      <c r="B292" s="1" t="s">
        <v>561</v>
      </c>
      <c r="C292" s="1" t="s">
        <v>205</v>
      </c>
      <c r="D292" s="1">
        <v>7753394</v>
      </c>
      <c r="E292" s="1">
        <v>0</v>
      </c>
      <c r="F292" s="1" t="s">
        <v>25</v>
      </c>
      <c r="G292" s="1" t="s">
        <v>349</v>
      </c>
      <c r="H292" s="2">
        <v>41343</v>
      </c>
      <c r="I292" s="1" t="s">
        <v>25</v>
      </c>
      <c r="J292" s="2">
        <v>41586</v>
      </c>
      <c r="K292" s="3"/>
      <c r="L292" s="3">
        <v>140000</v>
      </c>
      <c r="M292" s="3">
        <v>140000</v>
      </c>
      <c r="N292" s="1">
        <v>1</v>
      </c>
      <c r="O292" s="1">
        <v>0</v>
      </c>
      <c r="P292" s="1">
        <v>1</v>
      </c>
      <c r="Q292" s="3"/>
      <c r="R292" s="3"/>
      <c r="S292" s="3">
        <v>140000</v>
      </c>
      <c r="T292" s="1">
        <v>0.66575340000000005</v>
      </c>
      <c r="U292" s="3"/>
      <c r="V292" s="3"/>
      <c r="X292" s="1">
        <v>140000</v>
      </c>
      <c r="Y292" s="22">
        <v>0.66575340000000005</v>
      </c>
      <c r="Z292" s="4">
        <f>Table1[[#This Row],[totalTimeKept]]*$AD$3</f>
        <v>9986.3010000000013</v>
      </c>
      <c r="AA292" s="4">
        <f>Y292-Z292</f>
        <v>-9985.6352466000008</v>
      </c>
    </row>
    <row r="293" spans="1:27" x14ac:dyDescent="0.3">
      <c r="A293" s="1">
        <v>9490621</v>
      </c>
      <c r="B293" s="1" t="s">
        <v>562</v>
      </c>
      <c r="C293" s="1" t="s">
        <v>40</v>
      </c>
      <c r="D293" s="1">
        <v>4297755</v>
      </c>
      <c r="E293" s="1">
        <v>0</v>
      </c>
      <c r="F293" s="1" t="s">
        <v>25</v>
      </c>
      <c r="G293" s="1" t="s">
        <v>46</v>
      </c>
      <c r="H293" s="2">
        <v>41335</v>
      </c>
      <c r="I293" s="1" t="s">
        <v>25</v>
      </c>
      <c r="J293" s="2">
        <v>41893</v>
      </c>
      <c r="K293" s="3"/>
      <c r="L293" s="3">
        <v>400000</v>
      </c>
      <c r="M293" s="3">
        <v>400000</v>
      </c>
      <c r="N293" s="1">
        <v>1</v>
      </c>
      <c r="O293" s="1">
        <v>0</v>
      </c>
      <c r="P293" s="1">
        <v>1</v>
      </c>
      <c r="Q293" s="3"/>
      <c r="R293" s="3"/>
      <c r="S293" s="3">
        <v>400000</v>
      </c>
      <c r="T293" s="1">
        <v>1.528767</v>
      </c>
      <c r="U293" s="3"/>
      <c r="V293" s="3"/>
      <c r="X293" s="1">
        <v>400000</v>
      </c>
      <c r="Y293" s="22">
        <v>1.528767</v>
      </c>
      <c r="Z293" s="4">
        <f>Table1[[#This Row],[totalTimeKept]]*$AD$3</f>
        <v>22931.505000000001</v>
      </c>
      <c r="AA293" s="4">
        <f>Y293-Z293</f>
        <v>-22929.976233000001</v>
      </c>
    </row>
    <row r="294" spans="1:27" x14ac:dyDescent="0.3">
      <c r="A294" s="1">
        <v>9490877</v>
      </c>
      <c r="B294" s="1" t="s">
        <v>563</v>
      </c>
      <c r="C294" s="1" t="s">
        <v>564</v>
      </c>
      <c r="D294" s="1">
        <v>4630264</v>
      </c>
      <c r="E294" s="1">
        <v>0</v>
      </c>
      <c r="F294" s="1" t="s">
        <v>25</v>
      </c>
      <c r="G294" s="1" t="s">
        <v>46</v>
      </c>
      <c r="H294" s="2">
        <v>41346</v>
      </c>
      <c r="I294" s="2" t="s">
        <v>25</v>
      </c>
      <c r="J294" s="2">
        <v>41894</v>
      </c>
      <c r="K294" s="3"/>
      <c r="L294" s="3">
        <v>230000</v>
      </c>
      <c r="M294" s="3">
        <v>230000</v>
      </c>
      <c r="N294" s="1">
        <v>1</v>
      </c>
      <c r="O294" s="1">
        <v>0</v>
      </c>
      <c r="P294" s="1">
        <v>1</v>
      </c>
      <c r="Q294" s="3"/>
      <c r="R294" s="3"/>
      <c r="S294" s="3">
        <v>230000</v>
      </c>
      <c r="T294" s="1">
        <v>1.5013700000000001</v>
      </c>
      <c r="U294" s="3"/>
      <c r="V294" s="3"/>
      <c r="X294" s="1">
        <v>230000</v>
      </c>
      <c r="Y294" s="22">
        <v>1.5013700000000001</v>
      </c>
      <c r="Z294" s="4">
        <f>Table1[[#This Row],[totalTimeKept]]*$AD$3</f>
        <v>22520.550000000003</v>
      </c>
      <c r="AA294" s="4">
        <f>Y294-Z294</f>
        <v>-22519.048630000001</v>
      </c>
    </row>
    <row r="295" spans="1:27" x14ac:dyDescent="0.3">
      <c r="A295" s="1">
        <v>9491672</v>
      </c>
      <c r="B295" s="1" t="s">
        <v>565</v>
      </c>
      <c r="C295" s="1" t="s">
        <v>566</v>
      </c>
      <c r="D295" s="1">
        <v>4320442</v>
      </c>
      <c r="E295" s="1">
        <v>0</v>
      </c>
      <c r="F295" s="1" t="s">
        <v>139</v>
      </c>
      <c r="G295" s="1" t="s">
        <v>24</v>
      </c>
      <c r="H295" s="2">
        <v>41346</v>
      </c>
      <c r="I295" s="2">
        <v>43409</v>
      </c>
      <c r="J295" s="2">
        <v>44343</v>
      </c>
      <c r="K295" s="3">
        <v>425000</v>
      </c>
      <c r="L295" s="3">
        <v>619354</v>
      </c>
      <c r="M295" s="3">
        <v>194354</v>
      </c>
      <c r="N295" s="1">
        <v>0</v>
      </c>
      <c r="O295" s="1">
        <v>1</v>
      </c>
      <c r="P295" s="1">
        <v>1</v>
      </c>
      <c r="Q295" s="3">
        <v>110788.6</v>
      </c>
      <c r="R295" s="3"/>
      <c r="S295" s="3">
        <v>83565.36</v>
      </c>
      <c r="T295" s="1">
        <v>2.5589040000000001</v>
      </c>
      <c r="U295" s="3"/>
      <c r="V295" s="3"/>
      <c r="X295" s="1">
        <v>83565.36</v>
      </c>
      <c r="Y295" s="22">
        <v>2.5589040000000001</v>
      </c>
      <c r="Z295" s="4">
        <f>Table1[[#This Row],[totalTimeKept]]*$AD$3</f>
        <v>38383.56</v>
      </c>
      <c r="AA295" s="4">
        <f>Y295-Z295</f>
        <v>-38381.001096</v>
      </c>
    </row>
    <row r="296" spans="1:27" x14ac:dyDescent="0.3">
      <c r="A296" s="1">
        <v>9491936</v>
      </c>
      <c r="B296" s="1" t="s">
        <v>567</v>
      </c>
      <c r="C296" s="1" t="s">
        <v>284</v>
      </c>
      <c r="D296" s="1">
        <v>8404423</v>
      </c>
      <c r="E296" s="1">
        <v>0</v>
      </c>
      <c r="F296" s="1" t="s">
        <v>25</v>
      </c>
      <c r="G296" s="1" t="s">
        <v>46</v>
      </c>
      <c r="H296" s="2">
        <v>41333</v>
      </c>
      <c r="I296" s="1" t="s">
        <v>25</v>
      </c>
      <c r="J296" s="2">
        <v>41899</v>
      </c>
      <c r="K296" s="3"/>
      <c r="L296" s="3">
        <v>67000</v>
      </c>
      <c r="M296" s="3">
        <v>67000</v>
      </c>
      <c r="N296" s="1">
        <v>1</v>
      </c>
      <c r="O296" s="1">
        <v>0</v>
      </c>
      <c r="P296" s="1">
        <v>1</v>
      </c>
      <c r="Q296" s="3"/>
      <c r="R296" s="3"/>
      <c r="S296" s="3">
        <v>67000</v>
      </c>
      <c r="T296" s="1">
        <v>1.5506850000000001</v>
      </c>
      <c r="U296" s="3"/>
      <c r="V296" s="3"/>
      <c r="X296" s="1">
        <v>67000</v>
      </c>
      <c r="Y296" s="22">
        <v>1.5506850000000001</v>
      </c>
      <c r="Z296" s="4">
        <f>Table1[[#This Row],[totalTimeKept]]*$AD$3</f>
        <v>23260.275000000001</v>
      </c>
      <c r="AA296" s="4">
        <f>Y296-Z296</f>
        <v>-23258.724315000003</v>
      </c>
    </row>
    <row r="297" spans="1:27" x14ac:dyDescent="0.3">
      <c r="A297" s="1">
        <v>9491939</v>
      </c>
      <c r="B297" s="1" t="s">
        <v>568</v>
      </c>
      <c r="C297" s="1" t="s">
        <v>417</v>
      </c>
      <c r="D297" s="1">
        <v>7471679</v>
      </c>
      <c r="E297" s="1">
        <v>0</v>
      </c>
      <c r="F297" s="1" t="s">
        <v>25</v>
      </c>
      <c r="G297" s="1" t="s">
        <v>46</v>
      </c>
      <c r="H297" s="2">
        <v>41340</v>
      </c>
      <c r="I297" s="1" t="s">
        <v>25</v>
      </c>
      <c r="J297" s="2">
        <v>41893</v>
      </c>
      <c r="K297" s="3"/>
      <c r="L297" s="3">
        <v>330000</v>
      </c>
      <c r="M297" s="3">
        <v>330000</v>
      </c>
      <c r="N297" s="1">
        <v>1</v>
      </c>
      <c r="O297" s="1">
        <v>0</v>
      </c>
      <c r="P297" s="1">
        <v>1</v>
      </c>
      <c r="Q297" s="3"/>
      <c r="R297" s="3"/>
      <c r="S297" s="3">
        <v>330000</v>
      </c>
      <c r="T297" s="1">
        <v>1.515069</v>
      </c>
      <c r="U297" s="3"/>
      <c r="V297" s="3"/>
      <c r="X297" s="1">
        <v>330000</v>
      </c>
      <c r="Y297" s="22">
        <v>1.515069</v>
      </c>
      <c r="Z297" s="4">
        <f>Table1[[#This Row],[totalTimeKept]]*$AD$3</f>
        <v>22726.035</v>
      </c>
      <c r="AA297" s="4">
        <f>Y297-Z297</f>
        <v>-22724.519930999999</v>
      </c>
    </row>
    <row r="298" spans="1:27" x14ac:dyDescent="0.3">
      <c r="A298" s="1">
        <v>9491949</v>
      </c>
      <c r="B298" s="1" t="s">
        <v>569</v>
      </c>
      <c r="C298" s="1" t="s">
        <v>479</v>
      </c>
      <c r="D298" s="1">
        <v>7728446</v>
      </c>
      <c r="E298" s="1">
        <v>0</v>
      </c>
      <c r="F298" s="1" t="s">
        <v>25</v>
      </c>
      <c r="G298" s="1" t="s">
        <v>46</v>
      </c>
      <c r="H298" s="2">
        <v>41348</v>
      </c>
      <c r="I298" s="1" t="s">
        <v>25</v>
      </c>
      <c r="J298" s="2">
        <v>41893</v>
      </c>
      <c r="K298" s="3"/>
      <c r="L298" s="3">
        <v>300000</v>
      </c>
      <c r="M298" s="3">
        <v>300000</v>
      </c>
      <c r="N298" s="1">
        <v>1</v>
      </c>
      <c r="O298" s="1">
        <v>0</v>
      </c>
      <c r="P298" s="1">
        <v>1</v>
      </c>
      <c r="Q298" s="3"/>
      <c r="R298" s="3"/>
      <c r="S298" s="3">
        <v>300000</v>
      </c>
      <c r="T298" s="1">
        <v>1.4931509999999999</v>
      </c>
      <c r="U298" s="3"/>
      <c r="V298" s="3"/>
      <c r="X298" s="1">
        <v>300000</v>
      </c>
      <c r="Y298" s="22">
        <v>1.4931509999999999</v>
      </c>
      <c r="Z298" s="4">
        <f>Table1[[#This Row],[totalTimeKept]]*$AD$3</f>
        <v>22397.264999999999</v>
      </c>
      <c r="AA298" s="4">
        <f>Y298-Z298</f>
        <v>-22395.771849000001</v>
      </c>
    </row>
    <row r="299" spans="1:27" x14ac:dyDescent="0.3">
      <c r="A299" s="1">
        <v>9492639</v>
      </c>
      <c r="B299" s="1" t="s">
        <v>570</v>
      </c>
      <c r="C299" s="1" t="s">
        <v>571</v>
      </c>
      <c r="D299" s="1">
        <v>5317863</v>
      </c>
      <c r="E299" s="1">
        <v>0</v>
      </c>
      <c r="F299" s="1" t="s">
        <v>24</v>
      </c>
      <c r="G299" s="1" t="s">
        <v>25</v>
      </c>
      <c r="H299" s="2">
        <v>41295</v>
      </c>
      <c r="I299" s="2">
        <v>42683</v>
      </c>
      <c r="J299" s="2" t="s">
        <v>25</v>
      </c>
      <c r="K299" s="3">
        <v>260000</v>
      </c>
      <c r="L299" s="3"/>
      <c r="M299" s="3">
        <v>-260000</v>
      </c>
      <c r="N299" s="1">
        <v>0</v>
      </c>
      <c r="O299" s="1">
        <v>1</v>
      </c>
      <c r="P299" s="1">
        <v>0</v>
      </c>
      <c r="Q299" s="3">
        <v>75259.259999999995</v>
      </c>
      <c r="R299" s="3"/>
      <c r="S299" s="3">
        <v>-335259.3</v>
      </c>
      <c r="T299" s="1">
        <v>8.2794519999999991</v>
      </c>
      <c r="U299" s="3">
        <v>95000</v>
      </c>
      <c r="V299" s="3">
        <v>0</v>
      </c>
      <c r="W299" s="1">
        <v>0.60821919999999996</v>
      </c>
      <c r="X299" s="1">
        <v>-240259.3</v>
      </c>
      <c r="Y299" s="22">
        <v>8.8876709999999992</v>
      </c>
      <c r="Z299" s="4">
        <f>Table1[[#This Row],[totalTimeKept]]*$AD$3</f>
        <v>133315.065</v>
      </c>
      <c r="AA299" s="4">
        <f>Y299-Z299</f>
        <v>-133306.177329</v>
      </c>
    </row>
    <row r="300" spans="1:27" x14ac:dyDescent="0.3">
      <c r="A300" s="1">
        <v>9493432</v>
      </c>
      <c r="B300" s="1" t="s">
        <v>572</v>
      </c>
      <c r="C300" s="1" t="s">
        <v>573</v>
      </c>
      <c r="D300" s="1">
        <v>6515858</v>
      </c>
      <c r="E300" s="1">
        <v>0</v>
      </c>
      <c r="F300" s="1" t="s">
        <v>24</v>
      </c>
      <c r="G300" s="1" t="s">
        <v>24</v>
      </c>
      <c r="H300" s="2">
        <v>41355</v>
      </c>
      <c r="I300" s="2">
        <v>43774</v>
      </c>
      <c r="J300" s="2">
        <v>44899</v>
      </c>
      <c r="K300" s="3">
        <v>80000</v>
      </c>
      <c r="L300" s="3">
        <v>33698</v>
      </c>
      <c r="M300" s="3">
        <v>-46302</v>
      </c>
      <c r="N300" s="1">
        <v>0</v>
      </c>
      <c r="O300" s="1">
        <v>1</v>
      </c>
      <c r="P300" s="1">
        <v>1</v>
      </c>
      <c r="Q300" s="3">
        <v>33746.230000000003</v>
      </c>
      <c r="R300" s="3"/>
      <c r="S300" s="3">
        <v>-80048.23</v>
      </c>
      <c r="T300" s="1">
        <v>3.082192</v>
      </c>
      <c r="U300" s="3">
        <v>35862</v>
      </c>
      <c r="V300" s="3">
        <v>0</v>
      </c>
      <c r="W300" s="1">
        <v>1.6301369999999999</v>
      </c>
      <c r="X300" s="1">
        <v>-44186.23</v>
      </c>
      <c r="Y300" s="22">
        <v>4.7123290000000004</v>
      </c>
      <c r="Z300" s="4">
        <f>Table1[[#This Row],[totalTimeKept]]*$AD$3</f>
        <v>70684.935000000012</v>
      </c>
      <c r="AA300" s="4">
        <f>Y300-Z300</f>
        <v>-70680.22267100001</v>
      </c>
    </row>
    <row r="301" spans="1:27" x14ac:dyDescent="0.3">
      <c r="A301" s="1">
        <v>9493883</v>
      </c>
      <c r="B301" s="1" t="s">
        <v>574</v>
      </c>
      <c r="C301" s="1" t="s">
        <v>462</v>
      </c>
      <c r="D301" s="1">
        <v>4307108</v>
      </c>
      <c r="E301" s="1">
        <v>0</v>
      </c>
      <c r="F301" s="1" t="s">
        <v>25</v>
      </c>
      <c r="G301" s="1" t="s">
        <v>46</v>
      </c>
      <c r="H301" s="2">
        <v>41356</v>
      </c>
      <c r="I301" s="2" t="s">
        <v>25</v>
      </c>
      <c r="J301" s="2">
        <v>41893</v>
      </c>
      <c r="K301" s="3"/>
      <c r="L301" s="3">
        <v>125000</v>
      </c>
      <c r="M301" s="3">
        <v>125000</v>
      </c>
      <c r="N301" s="1">
        <v>1</v>
      </c>
      <c r="O301" s="1">
        <v>0</v>
      </c>
      <c r="P301" s="1">
        <v>1</v>
      </c>
      <c r="Q301" s="3"/>
      <c r="R301" s="3"/>
      <c r="S301" s="3">
        <v>125000</v>
      </c>
      <c r="T301" s="1">
        <v>1.471233</v>
      </c>
      <c r="U301" s="3"/>
      <c r="V301" s="3"/>
      <c r="X301" s="1">
        <v>125000</v>
      </c>
      <c r="Y301" s="22">
        <v>1.471233</v>
      </c>
      <c r="Z301" s="4">
        <f>Table1[[#This Row],[totalTimeKept]]*$AD$3</f>
        <v>22068.494999999999</v>
      </c>
      <c r="AA301" s="4">
        <f>Y301-Z301</f>
        <v>-22067.023766999999</v>
      </c>
    </row>
    <row r="302" spans="1:27" x14ac:dyDescent="0.3">
      <c r="A302" s="1">
        <v>9493888</v>
      </c>
      <c r="B302" s="1" t="s">
        <v>575</v>
      </c>
      <c r="C302" s="1" t="s">
        <v>209</v>
      </c>
      <c r="D302" s="1">
        <v>7760304</v>
      </c>
      <c r="E302" s="1">
        <v>0</v>
      </c>
      <c r="F302" s="1" t="s">
        <v>25</v>
      </c>
      <c r="G302" s="1" t="s">
        <v>292</v>
      </c>
      <c r="H302" s="2">
        <v>41357</v>
      </c>
      <c r="I302" s="1" t="s">
        <v>25</v>
      </c>
      <c r="J302" s="2">
        <v>42116</v>
      </c>
      <c r="K302" s="3"/>
      <c r="L302" s="3">
        <v>80000</v>
      </c>
      <c r="M302" s="3">
        <v>80000</v>
      </c>
      <c r="N302" s="1">
        <v>1</v>
      </c>
      <c r="O302" s="1">
        <v>0</v>
      </c>
      <c r="P302" s="1">
        <v>1</v>
      </c>
      <c r="Q302" s="3"/>
      <c r="R302" s="3"/>
      <c r="S302" s="3">
        <v>80000</v>
      </c>
      <c r="T302" s="1">
        <v>2.0794519999999999</v>
      </c>
      <c r="U302" s="3"/>
      <c r="V302" s="3"/>
      <c r="X302" s="1">
        <v>80000</v>
      </c>
      <c r="Y302" s="22">
        <v>2.0794519999999999</v>
      </c>
      <c r="Z302" s="4">
        <f>Table1[[#This Row],[totalTimeKept]]*$AD$3</f>
        <v>31191.78</v>
      </c>
      <c r="AA302" s="4">
        <f>Y302-Z302</f>
        <v>-31189.700547999997</v>
      </c>
    </row>
    <row r="303" spans="1:27" x14ac:dyDescent="0.3">
      <c r="A303" s="1">
        <v>9494638</v>
      </c>
      <c r="B303" s="1" t="s">
        <v>576</v>
      </c>
      <c r="C303" s="1" t="s">
        <v>577</v>
      </c>
      <c r="D303" s="1">
        <v>7465542</v>
      </c>
      <c r="E303" s="1">
        <v>0</v>
      </c>
      <c r="F303" s="1" t="s">
        <v>139</v>
      </c>
      <c r="G303" s="1" t="s">
        <v>139</v>
      </c>
      <c r="H303" s="2">
        <v>41346</v>
      </c>
      <c r="I303" s="2">
        <v>42683</v>
      </c>
      <c r="J303" s="2">
        <v>43047</v>
      </c>
      <c r="K303" s="3">
        <v>1700000</v>
      </c>
      <c r="L303" s="3">
        <v>1700000</v>
      </c>
      <c r="M303" s="3">
        <v>0</v>
      </c>
      <c r="N303" s="1">
        <v>0</v>
      </c>
      <c r="O303" s="1">
        <v>1</v>
      </c>
      <c r="P303" s="1">
        <v>1</v>
      </c>
      <c r="Q303" s="3"/>
      <c r="R303" s="3"/>
      <c r="S303" s="3">
        <v>0</v>
      </c>
      <c r="T303" s="1">
        <v>0.99726029999999999</v>
      </c>
      <c r="U303" s="3"/>
      <c r="V303" s="3"/>
      <c r="X303" s="1">
        <v>0</v>
      </c>
      <c r="Y303" s="22">
        <v>0.99726029999999999</v>
      </c>
      <c r="Z303" s="4">
        <f>Table1[[#This Row],[totalTimeKept]]*$AD$3</f>
        <v>14958.904500000001</v>
      </c>
      <c r="AA303" s="4">
        <f>Y303-Z303</f>
        <v>-14957.9072397</v>
      </c>
    </row>
    <row r="304" spans="1:27" x14ac:dyDescent="0.3">
      <c r="A304" s="1">
        <v>9495045</v>
      </c>
      <c r="B304" s="1" t="s">
        <v>578</v>
      </c>
      <c r="C304" s="1" t="s">
        <v>140</v>
      </c>
      <c r="D304" s="1">
        <v>7179253</v>
      </c>
      <c r="E304" s="1">
        <v>0</v>
      </c>
      <c r="F304" s="1" t="s">
        <v>25</v>
      </c>
      <c r="G304" s="1" t="s">
        <v>46</v>
      </c>
      <c r="H304" s="2">
        <v>41351</v>
      </c>
      <c r="I304" s="1" t="s">
        <v>25</v>
      </c>
      <c r="J304" s="2">
        <v>41896</v>
      </c>
      <c r="K304" s="3"/>
      <c r="L304" s="3">
        <v>42000</v>
      </c>
      <c r="M304" s="3">
        <v>42000</v>
      </c>
      <c r="N304" s="1">
        <v>1</v>
      </c>
      <c r="O304" s="1">
        <v>0</v>
      </c>
      <c r="P304" s="1">
        <v>1</v>
      </c>
      <c r="Q304" s="3"/>
      <c r="R304" s="3"/>
      <c r="S304" s="3">
        <v>42000</v>
      </c>
      <c r="T304" s="1">
        <v>1.4931509999999999</v>
      </c>
      <c r="U304" s="3"/>
      <c r="V304" s="3"/>
      <c r="X304" s="1">
        <v>42000</v>
      </c>
      <c r="Y304" s="22">
        <v>1.4931509999999999</v>
      </c>
      <c r="Z304" s="4">
        <f>Table1[[#This Row],[totalTimeKept]]*$AD$3</f>
        <v>22397.264999999999</v>
      </c>
      <c r="AA304" s="4">
        <f>Y304-Z304</f>
        <v>-22395.771849000001</v>
      </c>
    </row>
    <row r="305" spans="1:27" x14ac:dyDescent="0.3">
      <c r="A305" s="1">
        <v>9497666</v>
      </c>
      <c r="B305" s="1" t="s">
        <v>579</v>
      </c>
      <c r="C305" s="1" t="s">
        <v>580</v>
      </c>
      <c r="D305" s="1">
        <v>8041585</v>
      </c>
      <c r="E305" s="1">
        <v>0</v>
      </c>
      <c r="F305" s="1" t="s">
        <v>24</v>
      </c>
      <c r="G305" s="1" t="s">
        <v>24</v>
      </c>
      <c r="H305" s="2">
        <v>41319</v>
      </c>
      <c r="I305" s="2">
        <v>43778</v>
      </c>
      <c r="J305" s="2">
        <v>44572</v>
      </c>
      <c r="K305" s="3">
        <v>70000</v>
      </c>
      <c r="L305" s="3">
        <v>12000</v>
      </c>
      <c r="M305" s="3">
        <v>-58000</v>
      </c>
      <c r="N305" s="1">
        <v>0</v>
      </c>
      <c r="O305" s="1">
        <v>1</v>
      </c>
      <c r="P305" s="1">
        <v>1</v>
      </c>
      <c r="Q305" s="3">
        <v>50000</v>
      </c>
      <c r="R305" s="3"/>
      <c r="S305" s="3">
        <v>-108000</v>
      </c>
      <c r="T305" s="1">
        <v>2.1753429999999998</v>
      </c>
      <c r="U305" s="3">
        <v>102160</v>
      </c>
      <c r="V305" s="3">
        <v>0</v>
      </c>
      <c r="W305" s="1">
        <v>6.2575339999999997</v>
      </c>
      <c r="X305" s="1">
        <v>-5840</v>
      </c>
      <c r="Y305" s="22">
        <v>8.4328769999999995</v>
      </c>
      <c r="Z305" s="4">
        <f>Table1[[#This Row],[totalTimeKept]]*$AD$3</f>
        <v>126493.155</v>
      </c>
      <c r="AA305" s="4">
        <f>Y305-Z305</f>
        <v>-126484.722123</v>
      </c>
    </row>
    <row r="306" spans="1:27" x14ac:dyDescent="0.3">
      <c r="A306" s="1">
        <v>9504722</v>
      </c>
      <c r="B306" s="1" t="s">
        <v>581</v>
      </c>
      <c r="C306" s="1" t="s">
        <v>582</v>
      </c>
      <c r="D306" s="1">
        <v>5018073</v>
      </c>
      <c r="E306" s="1">
        <v>0</v>
      </c>
      <c r="F306" s="1" t="s">
        <v>24</v>
      </c>
      <c r="G306" s="1" t="s">
        <v>25</v>
      </c>
      <c r="H306" s="2">
        <v>41385</v>
      </c>
      <c r="I306" s="2">
        <v>43409</v>
      </c>
      <c r="J306" s="2" t="s">
        <v>25</v>
      </c>
      <c r="K306" s="3">
        <v>150000</v>
      </c>
      <c r="L306" s="3"/>
      <c r="M306" s="3">
        <v>-150000</v>
      </c>
      <c r="N306" s="1">
        <v>0</v>
      </c>
      <c r="O306" s="1">
        <v>1</v>
      </c>
      <c r="P306" s="1">
        <v>0</v>
      </c>
      <c r="Q306" s="3">
        <v>0</v>
      </c>
      <c r="R306" s="3"/>
      <c r="S306" s="3">
        <v>-150000</v>
      </c>
      <c r="T306" s="1">
        <v>6.2904109999999998</v>
      </c>
      <c r="U306" s="3"/>
      <c r="V306" s="3"/>
      <c r="X306" s="1">
        <v>-150000</v>
      </c>
      <c r="Y306" s="22">
        <v>6.2904109999999998</v>
      </c>
      <c r="Z306" s="4">
        <f>Table1[[#This Row],[totalTimeKept]]*$AD$3</f>
        <v>94356.164999999994</v>
      </c>
      <c r="AA306" s="4">
        <f>Y306-Z306</f>
        <v>-94349.874588999999</v>
      </c>
    </row>
    <row r="307" spans="1:27" x14ac:dyDescent="0.3">
      <c r="A307" s="1">
        <v>9504782</v>
      </c>
      <c r="B307" s="1" t="s">
        <v>583</v>
      </c>
      <c r="C307" s="1" t="s">
        <v>502</v>
      </c>
      <c r="D307" s="1">
        <v>4026221</v>
      </c>
      <c r="E307" s="1">
        <v>0</v>
      </c>
      <c r="F307" s="1" t="s">
        <v>25</v>
      </c>
      <c r="G307" s="1" t="s">
        <v>25</v>
      </c>
      <c r="H307" s="2">
        <v>41363</v>
      </c>
      <c r="I307" s="2" t="s">
        <v>25</v>
      </c>
      <c r="J307" s="2" t="s">
        <v>25</v>
      </c>
      <c r="K307" s="3"/>
      <c r="L307" s="3"/>
      <c r="M307" s="3">
        <v>0</v>
      </c>
      <c r="N307" s="1">
        <v>1</v>
      </c>
      <c r="P307" s="1">
        <v>0</v>
      </c>
      <c r="Q307" s="3">
        <v>107500</v>
      </c>
      <c r="R307" s="3"/>
      <c r="S307" s="3">
        <v>-107500</v>
      </c>
      <c r="T307" s="1">
        <v>11.89589</v>
      </c>
      <c r="U307" s="3"/>
      <c r="V307" s="3"/>
      <c r="X307" s="1">
        <v>-107500</v>
      </c>
      <c r="Y307" s="22">
        <v>11.89589</v>
      </c>
      <c r="Z307" s="4">
        <f>Table1[[#This Row],[totalTimeKept]]*$AD$3</f>
        <v>178438.35</v>
      </c>
      <c r="AA307" s="4">
        <f>Y307-Z307</f>
        <v>-178426.45410999999</v>
      </c>
    </row>
    <row r="308" spans="1:27" x14ac:dyDescent="0.3">
      <c r="A308" s="1">
        <v>9504783</v>
      </c>
      <c r="B308" s="1" t="s">
        <v>584</v>
      </c>
      <c r="C308" s="1" t="s">
        <v>159</v>
      </c>
      <c r="D308" s="1">
        <v>7425422</v>
      </c>
      <c r="E308" s="1">
        <v>0</v>
      </c>
      <c r="F308" s="1" t="s">
        <v>25</v>
      </c>
      <c r="G308" s="1" t="s">
        <v>46</v>
      </c>
      <c r="H308" s="2">
        <v>41364</v>
      </c>
      <c r="I308" s="1" t="s">
        <v>25</v>
      </c>
      <c r="J308" s="2">
        <v>41892</v>
      </c>
      <c r="K308" s="3"/>
      <c r="L308" s="3">
        <v>200000</v>
      </c>
      <c r="M308" s="3">
        <v>200000</v>
      </c>
      <c r="N308" s="1">
        <v>1</v>
      </c>
      <c r="O308" s="1">
        <v>0</v>
      </c>
      <c r="P308" s="1">
        <v>1</v>
      </c>
      <c r="Q308" s="3"/>
      <c r="R308" s="3"/>
      <c r="S308" s="3">
        <v>200000</v>
      </c>
      <c r="T308" s="1">
        <v>1.4465749999999999</v>
      </c>
      <c r="U308" s="3"/>
      <c r="V308" s="3"/>
      <c r="X308" s="1">
        <v>200000</v>
      </c>
      <c r="Y308" s="22">
        <v>1.4465749999999999</v>
      </c>
      <c r="Z308" s="4">
        <f>Table1[[#This Row],[totalTimeKept]]*$AD$3</f>
        <v>21698.625</v>
      </c>
      <c r="AA308" s="4">
        <f>Y308-Z308</f>
        <v>-21697.178424999998</v>
      </c>
    </row>
    <row r="309" spans="1:27" x14ac:dyDescent="0.3">
      <c r="A309" s="1">
        <v>9505318</v>
      </c>
      <c r="B309" s="1" t="s">
        <v>585</v>
      </c>
      <c r="C309" s="1" t="s">
        <v>586</v>
      </c>
      <c r="D309" s="1">
        <v>8685098</v>
      </c>
      <c r="E309" s="1">
        <v>0</v>
      </c>
      <c r="F309" s="1" t="s">
        <v>139</v>
      </c>
      <c r="G309" s="1" t="s">
        <v>24</v>
      </c>
      <c r="H309" s="2">
        <v>41366</v>
      </c>
      <c r="I309" s="2">
        <v>42681</v>
      </c>
      <c r="J309" s="2">
        <v>43046</v>
      </c>
      <c r="K309" s="3">
        <v>1400000</v>
      </c>
      <c r="L309" s="3">
        <v>2300000</v>
      </c>
      <c r="M309" s="3">
        <v>900000</v>
      </c>
      <c r="N309" s="1">
        <v>0</v>
      </c>
      <c r="O309" s="1">
        <v>1</v>
      </c>
      <c r="P309" s="1">
        <v>1</v>
      </c>
      <c r="Q309" s="3"/>
      <c r="R309" s="3"/>
      <c r="S309" s="3">
        <v>900000</v>
      </c>
      <c r="T309" s="1">
        <v>1</v>
      </c>
      <c r="U309" s="3"/>
      <c r="V309" s="3"/>
      <c r="X309" s="1">
        <v>900000</v>
      </c>
      <c r="Y309" s="22">
        <v>1</v>
      </c>
      <c r="Z309" s="4">
        <f>Table1[[#This Row],[totalTimeKept]]*$AD$3</f>
        <v>15000</v>
      </c>
      <c r="AA309" s="4">
        <f>Y309-Z309</f>
        <v>-14999</v>
      </c>
    </row>
    <row r="310" spans="1:27" x14ac:dyDescent="0.3">
      <c r="A310" s="1">
        <v>9506949</v>
      </c>
      <c r="B310" s="1" t="s">
        <v>587</v>
      </c>
      <c r="C310" s="1" t="s">
        <v>185</v>
      </c>
      <c r="D310" s="1">
        <v>7690741</v>
      </c>
      <c r="E310" s="1">
        <v>64450</v>
      </c>
      <c r="F310" s="1" t="s">
        <v>25</v>
      </c>
      <c r="G310" s="1" t="s">
        <v>24</v>
      </c>
      <c r="H310" s="2">
        <v>41371</v>
      </c>
      <c r="I310" s="1" t="s">
        <v>25</v>
      </c>
      <c r="J310" s="2">
        <v>43050</v>
      </c>
      <c r="K310" s="3"/>
      <c r="L310" s="3">
        <v>60000</v>
      </c>
      <c r="M310" s="3">
        <v>60000</v>
      </c>
      <c r="N310" s="1">
        <v>1</v>
      </c>
      <c r="O310" s="1">
        <v>0</v>
      </c>
      <c r="P310" s="1">
        <v>1</v>
      </c>
      <c r="Q310" s="3">
        <v>12500</v>
      </c>
      <c r="R310" s="3"/>
      <c r="S310" s="3">
        <v>111950</v>
      </c>
      <c r="T310" s="1">
        <v>4.5999999999999996</v>
      </c>
      <c r="U310" s="3">
        <v>30000</v>
      </c>
      <c r="V310" s="3">
        <v>0</v>
      </c>
      <c r="W310" s="1">
        <v>0.63835609999999998</v>
      </c>
      <c r="X310" s="1">
        <v>141950</v>
      </c>
      <c r="Y310" s="22">
        <v>5.2383559999999996</v>
      </c>
      <c r="Z310" s="4">
        <f>Table1[[#This Row],[totalTimeKept]]*$AD$3</f>
        <v>78575.34</v>
      </c>
      <c r="AA310" s="4">
        <f>Y310-Z310</f>
        <v>-78570.101643999995</v>
      </c>
    </row>
    <row r="311" spans="1:27" x14ac:dyDescent="0.3">
      <c r="A311" s="1">
        <v>9506950</v>
      </c>
      <c r="B311" s="1" t="s">
        <v>588</v>
      </c>
      <c r="C311" s="1" t="s">
        <v>473</v>
      </c>
      <c r="D311" s="1">
        <v>6096402</v>
      </c>
      <c r="E311" s="1">
        <v>0</v>
      </c>
      <c r="F311" s="1" t="s">
        <v>25</v>
      </c>
      <c r="G311" s="1" t="s">
        <v>46</v>
      </c>
      <c r="H311" s="2">
        <v>41373</v>
      </c>
      <c r="I311" s="1" t="s">
        <v>25</v>
      </c>
      <c r="J311" s="2">
        <v>41891</v>
      </c>
      <c r="K311" s="3"/>
      <c r="L311" s="3">
        <v>300000</v>
      </c>
      <c r="M311" s="3">
        <v>300000</v>
      </c>
      <c r="N311" s="1">
        <v>1</v>
      </c>
      <c r="O311" s="1">
        <v>0</v>
      </c>
      <c r="P311" s="1">
        <v>1</v>
      </c>
      <c r="Q311" s="3"/>
      <c r="R311" s="3"/>
      <c r="S311" s="3">
        <v>300000</v>
      </c>
      <c r="T311" s="1">
        <v>1.4191780000000001</v>
      </c>
      <c r="U311" s="3"/>
      <c r="V311" s="3"/>
      <c r="X311" s="1">
        <v>300000</v>
      </c>
      <c r="Y311" s="22">
        <v>1.4191780000000001</v>
      </c>
      <c r="Z311" s="4">
        <f>Table1[[#This Row],[totalTimeKept]]*$AD$3</f>
        <v>21287.670000000002</v>
      </c>
      <c r="AA311" s="4">
        <f>Y311-Z311</f>
        <v>-21286.250822000002</v>
      </c>
    </row>
    <row r="312" spans="1:27" x14ac:dyDescent="0.3">
      <c r="A312" s="1">
        <v>9506951</v>
      </c>
      <c r="B312" s="1" t="s">
        <v>589</v>
      </c>
      <c r="C312" s="1" t="s">
        <v>590</v>
      </c>
      <c r="D312" s="1">
        <v>8007023</v>
      </c>
      <c r="E312" s="1">
        <v>0</v>
      </c>
      <c r="F312" s="1" t="s">
        <v>25</v>
      </c>
      <c r="G312" s="1" t="s">
        <v>46</v>
      </c>
      <c r="H312" s="2">
        <v>41374</v>
      </c>
      <c r="I312" s="1" t="s">
        <v>25</v>
      </c>
      <c r="J312" s="2">
        <v>41892</v>
      </c>
      <c r="K312" s="3"/>
      <c r="L312" s="3">
        <v>280000</v>
      </c>
      <c r="M312" s="3">
        <v>280000</v>
      </c>
      <c r="N312" s="1">
        <v>1</v>
      </c>
      <c r="O312" s="1">
        <v>0</v>
      </c>
      <c r="P312" s="1">
        <v>1</v>
      </c>
      <c r="Q312" s="3"/>
      <c r="R312" s="3"/>
      <c r="S312" s="3">
        <v>280000</v>
      </c>
      <c r="T312" s="1">
        <v>1.4191780000000001</v>
      </c>
      <c r="U312" s="3"/>
      <c r="V312" s="3"/>
      <c r="X312" s="1">
        <v>280000</v>
      </c>
      <c r="Y312" s="22">
        <v>1.4191780000000001</v>
      </c>
      <c r="Z312" s="4">
        <f>Table1[[#This Row],[totalTimeKept]]*$AD$3</f>
        <v>21287.670000000002</v>
      </c>
      <c r="AA312" s="4">
        <f>Y312-Z312</f>
        <v>-21286.250822000002</v>
      </c>
    </row>
    <row r="313" spans="1:27" x14ac:dyDescent="0.3">
      <c r="A313" s="1">
        <v>9507898</v>
      </c>
      <c r="B313" s="1" t="s">
        <v>591</v>
      </c>
      <c r="C313" s="1" t="s">
        <v>276</v>
      </c>
      <c r="D313" s="1">
        <v>8340935</v>
      </c>
      <c r="E313" s="1">
        <v>0</v>
      </c>
      <c r="F313" s="1" t="s">
        <v>25</v>
      </c>
      <c r="G313" s="1" t="s">
        <v>292</v>
      </c>
      <c r="H313" s="2">
        <v>41381</v>
      </c>
      <c r="I313" s="1" t="s">
        <v>25</v>
      </c>
      <c r="J313" s="2">
        <v>42142</v>
      </c>
      <c r="K313" s="3"/>
      <c r="L313" s="3">
        <v>7000</v>
      </c>
      <c r="M313" s="3">
        <v>7000</v>
      </c>
      <c r="N313" s="1">
        <v>1</v>
      </c>
      <c r="O313" s="1">
        <v>0</v>
      </c>
      <c r="P313" s="1">
        <v>1</v>
      </c>
      <c r="Q313" s="3"/>
      <c r="R313" s="3"/>
      <c r="S313" s="3">
        <v>7000</v>
      </c>
      <c r="T313" s="1">
        <v>2.0849319999999998</v>
      </c>
      <c r="U313" s="3"/>
      <c r="V313" s="3"/>
      <c r="X313" s="1">
        <v>7000</v>
      </c>
      <c r="Y313" s="22">
        <v>2.0849319999999998</v>
      </c>
      <c r="Z313" s="4">
        <f>Table1[[#This Row],[totalTimeKept]]*$AD$3</f>
        <v>31273.979999999996</v>
      </c>
      <c r="AA313" s="4">
        <f>Y313-Z313</f>
        <v>-31271.895067999994</v>
      </c>
    </row>
    <row r="314" spans="1:27" x14ac:dyDescent="0.3">
      <c r="A314" s="1">
        <v>9507923</v>
      </c>
      <c r="B314" s="1" t="s">
        <v>592</v>
      </c>
      <c r="C314" s="1" t="s">
        <v>516</v>
      </c>
      <c r="D314" s="1">
        <v>5350485</v>
      </c>
      <c r="E314" s="1">
        <v>0</v>
      </c>
      <c r="F314" s="1" t="s">
        <v>25</v>
      </c>
      <c r="G314" s="1" t="s">
        <v>25</v>
      </c>
      <c r="H314" s="2">
        <v>41381</v>
      </c>
      <c r="I314" s="1" t="s">
        <v>25</v>
      </c>
      <c r="J314" s="2" t="s">
        <v>25</v>
      </c>
      <c r="K314" s="3"/>
      <c r="L314" s="3"/>
      <c r="M314" s="3">
        <v>0</v>
      </c>
      <c r="N314" s="1">
        <v>1</v>
      </c>
      <c r="P314" s="1">
        <v>0</v>
      </c>
      <c r="Q314" s="3"/>
      <c r="R314" s="3"/>
      <c r="S314" s="3">
        <v>0</v>
      </c>
      <c r="T314" s="1">
        <v>11.846579999999999</v>
      </c>
      <c r="U314" s="3"/>
      <c r="V314" s="3"/>
      <c r="X314" s="1">
        <v>0</v>
      </c>
      <c r="Y314" s="22">
        <v>11.846579999999999</v>
      </c>
      <c r="Z314" s="4">
        <f>Table1[[#This Row],[totalTimeKept]]*$AD$3</f>
        <v>177698.69999999998</v>
      </c>
      <c r="AA314" s="4">
        <f>Y314-Z314</f>
        <v>-177686.85341999997</v>
      </c>
    </row>
    <row r="315" spans="1:27" x14ac:dyDescent="0.3">
      <c r="A315" s="1">
        <v>9509660</v>
      </c>
      <c r="B315" s="1" t="s">
        <v>593</v>
      </c>
      <c r="C315" s="1" t="s">
        <v>594</v>
      </c>
      <c r="D315" s="1">
        <v>5030564</v>
      </c>
      <c r="E315" s="1">
        <v>0</v>
      </c>
      <c r="F315" s="1" t="s">
        <v>24</v>
      </c>
      <c r="G315" s="1" t="s">
        <v>24</v>
      </c>
      <c r="H315" s="2">
        <v>41392</v>
      </c>
      <c r="I315" s="2">
        <v>43408</v>
      </c>
      <c r="J315" s="2">
        <v>43802</v>
      </c>
      <c r="K315" s="3">
        <v>435000</v>
      </c>
      <c r="L315" s="3">
        <v>373692</v>
      </c>
      <c r="M315" s="3">
        <v>-61308</v>
      </c>
      <c r="N315" s="1">
        <v>0</v>
      </c>
      <c r="O315" s="1">
        <v>1</v>
      </c>
      <c r="P315" s="1">
        <v>1</v>
      </c>
      <c r="Q315" s="3">
        <v>0</v>
      </c>
      <c r="R315" s="3"/>
      <c r="S315" s="3">
        <v>-61308</v>
      </c>
      <c r="T315" s="1">
        <v>1.0794520000000001</v>
      </c>
      <c r="U315" s="3">
        <v>175000</v>
      </c>
      <c r="V315" s="3">
        <v>0</v>
      </c>
      <c r="W315" s="1">
        <v>1.6027400000000001</v>
      </c>
      <c r="X315" s="1">
        <v>113692</v>
      </c>
      <c r="Y315" s="22">
        <v>2.6821920000000001</v>
      </c>
      <c r="Z315" s="4">
        <f>Table1[[#This Row],[totalTimeKept]]*$AD$3</f>
        <v>40232.880000000005</v>
      </c>
      <c r="AA315" s="4">
        <f>Y315-Z315</f>
        <v>-40230.197808000004</v>
      </c>
    </row>
    <row r="316" spans="1:27" x14ac:dyDescent="0.3">
      <c r="A316" s="1">
        <v>9510199</v>
      </c>
      <c r="B316" s="1" t="s">
        <v>595</v>
      </c>
      <c r="C316" s="1" t="s">
        <v>596</v>
      </c>
      <c r="D316" s="1">
        <v>7108794</v>
      </c>
      <c r="E316" s="1">
        <v>0</v>
      </c>
      <c r="F316" s="1" t="s">
        <v>25</v>
      </c>
      <c r="G316" s="1" t="s">
        <v>46</v>
      </c>
      <c r="H316" s="2">
        <v>41394</v>
      </c>
      <c r="I316" s="1" t="s">
        <v>25</v>
      </c>
      <c r="J316" s="2">
        <v>41645</v>
      </c>
      <c r="K316" s="3"/>
      <c r="L316" s="3">
        <v>20000</v>
      </c>
      <c r="M316" s="3">
        <v>20000</v>
      </c>
      <c r="N316" s="1">
        <v>1</v>
      </c>
      <c r="O316" s="1">
        <v>0</v>
      </c>
      <c r="P316" s="1">
        <v>1</v>
      </c>
      <c r="Q316" s="3"/>
      <c r="R316" s="3"/>
      <c r="S316" s="3">
        <v>20000</v>
      </c>
      <c r="T316" s="1">
        <v>0.68767120000000004</v>
      </c>
      <c r="U316" s="3"/>
      <c r="V316" s="3"/>
      <c r="X316" s="1">
        <v>20000</v>
      </c>
      <c r="Y316" s="22">
        <v>0.68767120000000004</v>
      </c>
      <c r="Z316" s="4">
        <f>Table1[[#This Row],[totalTimeKept]]*$AD$3</f>
        <v>10315.068000000001</v>
      </c>
      <c r="AA316" s="4">
        <f>Y316-Z316</f>
        <v>-10314.380328800002</v>
      </c>
    </row>
    <row r="317" spans="1:27" x14ac:dyDescent="0.3">
      <c r="A317" s="1">
        <v>9512494</v>
      </c>
      <c r="B317" s="1" t="s">
        <v>597</v>
      </c>
      <c r="C317" s="1" t="s">
        <v>598</v>
      </c>
      <c r="D317" s="1">
        <v>4053311</v>
      </c>
      <c r="E317" s="1">
        <v>0</v>
      </c>
      <c r="F317" s="1" t="s">
        <v>46</v>
      </c>
      <c r="G317" s="1" t="s">
        <v>24</v>
      </c>
      <c r="H317" s="2">
        <v>41394</v>
      </c>
      <c r="I317" s="2">
        <v>41891</v>
      </c>
      <c r="J317" s="2">
        <v>43775</v>
      </c>
      <c r="K317" s="3">
        <v>400000</v>
      </c>
      <c r="L317" s="3">
        <v>285000</v>
      </c>
      <c r="M317" s="3">
        <v>-115000</v>
      </c>
      <c r="N317" s="1">
        <v>0</v>
      </c>
      <c r="O317" s="1">
        <v>1</v>
      </c>
      <c r="P317" s="1">
        <v>1</v>
      </c>
      <c r="Q317" s="3">
        <v>130000</v>
      </c>
      <c r="R317" s="3"/>
      <c r="S317" s="3">
        <v>-245000</v>
      </c>
      <c r="T317" s="1">
        <v>5.1616439999999999</v>
      </c>
      <c r="U317" s="3"/>
      <c r="V317" s="3"/>
      <c r="X317" s="1">
        <v>-245000</v>
      </c>
      <c r="Y317" s="22">
        <v>5.1616439999999999</v>
      </c>
      <c r="Z317" s="4">
        <f>Table1[[#This Row],[totalTimeKept]]*$AD$3</f>
        <v>77424.66</v>
      </c>
      <c r="AA317" s="4">
        <f>Y317-Z317</f>
        <v>-77419.498355999996</v>
      </c>
    </row>
    <row r="318" spans="1:27" x14ac:dyDescent="0.3">
      <c r="A318" s="1">
        <v>9514459</v>
      </c>
      <c r="B318" s="1" t="s">
        <v>599</v>
      </c>
      <c r="C318" s="1" t="s">
        <v>600</v>
      </c>
      <c r="D318" s="1">
        <v>7418697</v>
      </c>
      <c r="E318" s="1">
        <v>0</v>
      </c>
      <c r="F318" s="1" t="s">
        <v>139</v>
      </c>
      <c r="G318" s="1" t="s">
        <v>25</v>
      </c>
      <c r="H318" s="2">
        <v>41402</v>
      </c>
      <c r="I318" s="2">
        <v>43045</v>
      </c>
      <c r="J318" s="2" t="s">
        <v>25</v>
      </c>
      <c r="K318" s="3">
        <v>95000</v>
      </c>
      <c r="L318" s="3"/>
      <c r="M318" s="3">
        <v>-95000</v>
      </c>
      <c r="N318" s="1">
        <v>0</v>
      </c>
      <c r="O318" s="1">
        <v>1</v>
      </c>
      <c r="P318" s="1">
        <v>0</v>
      </c>
      <c r="Q318" s="3">
        <v>0</v>
      </c>
      <c r="R318" s="3"/>
      <c r="S318" s="3">
        <v>-95000</v>
      </c>
      <c r="T318" s="1">
        <v>7.2876709999999996</v>
      </c>
      <c r="U318" s="3"/>
      <c r="V318" s="3"/>
      <c r="X318" s="1">
        <v>-95000</v>
      </c>
      <c r="Y318" s="22">
        <v>7.2876709999999996</v>
      </c>
      <c r="Z318" s="4">
        <f>Table1[[#This Row],[totalTimeKept]]*$AD$3</f>
        <v>109315.06499999999</v>
      </c>
      <c r="AA318" s="4">
        <f>Y318-Z318</f>
        <v>-109307.77732899999</v>
      </c>
    </row>
    <row r="319" spans="1:27" x14ac:dyDescent="0.3">
      <c r="A319" s="1">
        <v>9514839</v>
      </c>
      <c r="B319" s="1" t="s">
        <v>601</v>
      </c>
      <c r="C319" s="1" t="s">
        <v>437</v>
      </c>
      <c r="D319" s="1">
        <v>7136482</v>
      </c>
      <c r="E319" s="1">
        <v>0</v>
      </c>
      <c r="F319" s="1" t="s">
        <v>25</v>
      </c>
      <c r="G319" s="1" t="s">
        <v>25</v>
      </c>
      <c r="H319" s="2">
        <v>41404</v>
      </c>
      <c r="I319" s="2" t="s">
        <v>25</v>
      </c>
      <c r="J319" s="2" t="s">
        <v>25</v>
      </c>
      <c r="K319" s="3"/>
      <c r="L319" s="3"/>
      <c r="M319" s="3">
        <v>0</v>
      </c>
      <c r="N319" s="1">
        <v>1</v>
      </c>
      <c r="P319" s="1">
        <v>0</v>
      </c>
      <c r="Q319" s="3">
        <v>61469.74</v>
      </c>
      <c r="R319" s="3"/>
      <c r="S319" s="3">
        <v>-61469.74</v>
      </c>
      <c r="T319" s="1">
        <v>11.78356</v>
      </c>
      <c r="U319" s="3"/>
      <c r="V319" s="3"/>
      <c r="X319" s="1">
        <v>-61469.74</v>
      </c>
      <c r="Y319" s="22">
        <v>11.78356</v>
      </c>
      <c r="Z319" s="4">
        <f>Table1[[#This Row],[totalTimeKept]]*$AD$3</f>
        <v>176753.4</v>
      </c>
      <c r="AA319" s="4">
        <f>Y319-Z319</f>
        <v>-176741.61643999998</v>
      </c>
    </row>
    <row r="320" spans="1:27" x14ac:dyDescent="0.3">
      <c r="A320" s="1">
        <v>9515391</v>
      </c>
      <c r="B320" s="1" t="s">
        <v>602</v>
      </c>
      <c r="C320" s="1" t="s">
        <v>53</v>
      </c>
      <c r="D320" s="1">
        <v>4530465</v>
      </c>
      <c r="E320" s="1">
        <v>0</v>
      </c>
      <c r="F320" s="1" t="s">
        <v>25</v>
      </c>
      <c r="G320" s="1" t="s">
        <v>46</v>
      </c>
      <c r="H320" s="2">
        <v>41408</v>
      </c>
      <c r="I320" s="1" t="s">
        <v>25</v>
      </c>
      <c r="J320" s="2">
        <v>41894</v>
      </c>
      <c r="K320" s="3"/>
      <c r="L320" s="3">
        <v>160000</v>
      </c>
      <c r="M320" s="3">
        <v>160000</v>
      </c>
      <c r="N320" s="1">
        <v>1</v>
      </c>
      <c r="O320" s="1">
        <v>0</v>
      </c>
      <c r="P320" s="1">
        <v>1</v>
      </c>
      <c r="Q320" s="3"/>
      <c r="R320" s="3"/>
      <c r="S320" s="3">
        <v>160000</v>
      </c>
      <c r="T320" s="1">
        <v>1.331507</v>
      </c>
      <c r="U320" s="3"/>
      <c r="V320" s="3"/>
      <c r="X320" s="1">
        <v>160000</v>
      </c>
      <c r="Y320" s="22">
        <v>1.331507</v>
      </c>
      <c r="Z320" s="4">
        <f>Table1[[#This Row],[totalTimeKept]]*$AD$3</f>
        <v>19972.605</v>
      </c>
      <c r="AA320" s="4">
        <f>Y320-Z320</f>
        <v>-19971.273493000001</v>
      </c>
    </row>
    <row r="321" spans="1:27" x14ac:dyDescent="0.3">
      <c r="A321" s="1">
        <v>9516442</v>
      </c>
      <c r="B321" s="1" t="s">
        <v>603</v>
      </c>
      <c r="C321" s="1" t="s">
        <v>67</v>
      </c>
      <c r="D321" s="1">
        <v>5192419</v>
      </c>
      <c r="E321" s="1">
        <v>0</v>
      </c>
      <c r="F321" s="1" t="s">
        <v>25</v>
      </c>
      <c r="G321" s="1" t="s">
        <v>46</v>
      </c>
      <c r="H321" s="2">
        <v>41408</v>
      </c>
      <c r="I321" s="2" t="s">
        <v>25</v>
      </c>
      <c r="J321" s="2">
        <v>41894</v>
      </c>
      <c r="K321" s="3"/>
      <c r="L321" s="3">
        <v>240000</v>
      </c>
      <c r="M321" s="3">
        <v>240000</v>
      </c>
      <c r="N321" s="1">
        <v>1</v>
      </c>
      <c r="O321" s="1">
        <v>0</v>
      </c>
      <c r="P321" s="1">
        <v>1</v>
      </c>
      <c r="Q321" s="3"/>
      <c r="R321" s="3"/>
      <c r="S321" s="3">
        <v>240000</v>
      </c>
      <c r="T321" s="1">
        <v>1.331507</v>
      </c>
      <c r="U321" s="3"/>
      <c r="V321" s="3"/>
      <c r="X321" s="1">
        <v>240000</v>
      </c>
      <c r="Y321" s="22">
        <v>1.331507</v>
      </c>
      <c r="Z321" s="4">
        <f>Table1[[#This Row],[totalTimeKept]]*$AD$3</f>
        <v>19972.605</v>
      </c>
      <c r="AA321" s="4">
        <f>Y321-Z321</f>
        <v>-19971.273493000001</v>
      </c>
    </row>
    <row r="322" spans="1:27" x14ac:dyDescent="0.3">
      <c r="A322" s="1">
        <v>9517442</v>
      </c>
      <c r="B322" s="1" t="s">
        <v>604</v>
      </c>
      <c r="C322" s="1" t="s">
        <v>605</v>
      </c>
      <c r="D322" s="1">
        <v>6302447</v>
      </c>
      <c r="E322" s="1">
        <v>0</v>
      </c>
      <c r="F322" s="1" t="s">
        <v>139</v>
      </c>
      <c r="G322" s="1" t="s">
        <v>25</v>
      </c>
      <c r="H322" s="2">
        <v>41352</v>
      </c>
      <c r="I322" s="2">
        <v>42681</v>
      </c>
      <c r="J322" s="2" t="s">
        <v>25</v>
      </c>
      <c r="K322" s="3">
        <v>300000</v>
      </c>
      <c r="L322" s="3"/>
      <c r="M322" s="3">
        <v>-300000</v>
      </c>
      <c r="N322" s="1">
        <v>0</v>
      </c>
      <c r="O322" s="1">
        <v>1</v>
      </c>
      <c r="P322" s="1">
        <v>0</v>
      </c>
      <c r="Q322" s="3">
        <v>0</v>
      </c>
      <c r="R322" s="3"/>
      <c r="S322" s="3">
        <v>-300000</v>
      </c>
      <c r="T322" s="1">
        <v>8.2849310000000003</v>
      </c>
      <c r="U322" s="3"/>
      <c r="V322" s="3"/>
      <c r="X322" s="1">
        <v>-300000</v>
      </c>
      <c r="Y322" s="22">
        <v>8.2849310000000003</v>
      </c>
      <c r="Z322" s="4">
        <f>Table1[[#This Row],[totalTimeKept]]*$AD$3</f>
        <v>124273.96500000001</v>
      </c>
      <c r="AA322" s="4">
        <f>Y322-Z322</f>
        <v>-124265.68006900001</v>
      </c>
    </row>
    <row r="323" spans="1:27" x14ac:dyDescent="0.3">
      <c r="A323" s="1">
        <v>9518818</v>
      </c>
      <c r="B323" s="1" t="s">
        <v>606</v>
      </c>
      <c r="C323" s="1" t="s">
        <v>440</v>
      </c>
      <c r="D323" s="1">
        <v>1452045</v>
      </c>
      <c r="E323" s="1">
        <v>2500</v>
      </c>
      <c r="F323" s="1" t="s">
        <v>25</v>
      </c>
      <c r="G323" s="1" t="s">
        <v>24</v>
      </c>
      <c r="H323" s="2">
        <v>41387</v>
      </c>
      <c r="I323" s="1" t="s">
        <v>25</v>
      </c>
      <c r="J323" s="2">
        <v>42773</v>
      </c>
      <c r="K323" s="3"/>
      <c r="L323" s="3">
        <v>210000</v>
      </c>
      <c r="M323" s="3">
        <v>210000</v>
      </c>
      <c r="N323" s="1">
        <v>1</v>
      </c>
      <c r="O323" s="1">
        <v>0</v>
      </c>
      <c r="P323" s="1">
        <v>1</v>
      </c>
      <c r="Q323" s="3">
        <v>25000</v>
      </c>
      <c r="R323" s="3"/>
      <c r="S323" s="3">
        <v>187500</v>
      </c>
      <c r="T323" s="1">
        <v>3.7972600000000001</v>
      </c>
      <c r="U323" s="3"/>
      <c r="V323" s="3"/>
      <c r="X323" s="1">
        <v>187500</v>
      </c>
      <c r="Y323" s="22">
        <v>3.7972600000000001</v>
      </c>
      <c r="Z323" s="4">
        <f>Table1[[#This Row],[totalTimeKept]]*$AD$3</f>
        <v>56958.9</v>
      </c>
      <c r="AA323" s="4">
        <f>Y323-Z323</f>
        <v>-56955.102740000002</v>
      </c>
    </row>
    <row r="324" spans="1:27" x14ac:dyDescent="0.3">
      <c r="A324" s="1">
        <v>9518837</v>
      </c>
      <c r="B324" s="1" t="s">
        <v>607</v>
      </c>
      <c r="C324" s="1" t="s">
        <v>330</v>
      </c>
      <c r="D324" s="1">
        <v>4031549</v>
      </c>
      <c r="E324" s="1">
        <v>0</v>
      </c>
      <c r="F324" s="1" t="s">
        <v>25</v>
      </c>
      <c r="G324" s="1" t="s">
        <v>292</v>
      </c>
      <c r="H324" s="2">
        <v>41395</v>
      </c>
      <c r="I324" s="1" t="s">
        <v>25</v>
      </c>
      <c r="J324" s="2">
        <v>42110</v>
      </c>
      <c r="K324" s="3"/>
      <c r="L324" s="3">
        <v>101310</v>
      </c>
      <c r="M324" s="3">
        <v>101310</v>
      </c>
      <c r="N324" s="1">
        <v>1</v>
      </c>
      <c r="O324" s="1">
        <v>0</v>
      </c>
      <c r="P324" s="1">
        <v>1</v>
      </c>
      <c r="Q324" s="3"/>
      <c r="R324" s="3"/>
      <c r="S324" s="3">
        <v>101310</v>
      </c>
      <c r="T324" s="1">
        <v>1.958904</v>
      </c>
      <c r="U324" s="3"/>
      <c r="V324" s="3"/>
      <c r="X324" s="1">
        <v>101310</v>
      </c>
      <c r="Y324" s="22">
        <v>1.958904</v>
      </c>
      <c r="Z324" s="4">
        <f>Table1[[#This Row],[totalTimeKept]]*$AD$3</f>
        <v>29383.56</v>
      </c>
      <c r="AA324" s="4">
        <f>Y324-Z324</f>
        <v>-29381.601096000002</v>
      </c>
    </row>
    <row r="325" spans="1:27" x14ac:dyDescent="0.3">
      <c r="A325" s="1">
        <v>9520155</v>
      </c>
      <c r="B325" s="1" t="s">
        <v>608</v>
      </c>
      <c r="C325" s="1" t="s">
        <v>22</v>
      </c>
      <c r="D325" s="1">
        <v>1433178</v>
      </c>
      <c r="E325" s="1">
        <v>0</v>
      </c>
      <c r="F325" s="1" t="s">
        <v>25</v>
      </c>
      <c r="G325" s="1" t="s">
        <v>46</v>
      </c>
      <c r="H325" s="2">
        <v>41373</v>
      </c>
      <c r="I325" s="1" t="s">
        <v>25</v>
      </c>
      <c r="J325" s="2">
        <v>41896</v>
      </c>
      <c r="K325" s="3"/>
      <c r="L325" s="3">
        <v>42000</v>
      </c>
      <c r="M325" s="3">
        <v>42000</v>
      </c>
      <c r="N325" s="1">
        <v>1</v>
      </c>
      <c r="O325" s="1">
        <v>0</v>
      </c>
      <c r="P325" s="1">
        <v>1</v>
      </c>
      <c r="Q325" s="3"/>
      <c r="R325" s="3"/>
      <c r="S325" s="3">
        <v>42000</v>
      </c>
      <c r="T325" s="1">
        <v>1.432877</v>
      </c>
      <c r="U325" s="3"/>
      <c r="V325" s="3"/>
      <c r="X325" s="1">
        <v>42000</v>
      </c>
      <c r="Y325" s="22">
        <v>1.432877</v>
      </c>
      <c r="Z325" s="4">
        <f>Table1[[#This Row],[totalTimeKept]]*$AD$3</f>
        <v>21493.154999999999</v>
      </c>
      <c r="AA325" s="4">
        <f>Y325-Z325</f>
        <v>-21491.722123</v>
      </c>
    </row>
    <row r="326" spans="1:27" x14ac:dyDescent="0.3">
      <c r="A326" s="1">
        <v>9546442</v>
      </c>
      <c r="B326" s="1" t="s">
        <v>609</v>
      </c>
      <c r="C326" s="1" t="s">
        <v>334</v>
      </c>
      <c r="D326" s="1">
        <v>7411150</v>
      </c>
      <c r="E326" s="1">
        <v>0</v>
      </c>
      <c r="F326" s="1" t="s">
        <v>25</v>
      </c>
      <c r="G326" s="1" t="s">
        <v>46</v>
      </c>
      <c r="H326" s="2">
        <v>41409</v>
      </c>
      <c r="I326" s="1" t="s">
        <v>25</v>
      </c>
      <c r="J326" s="2">
        <v>41893</v>
      </c>
      <c r="K326" s="3"/>
      <c r="L326" s="3">
        <v>120000</v>
      </c>
      <c r="M326" s="3">
        <v>120000</v>
      </c>
      <c r="N326" s="1">
        <v>1</v>
      </c>
      <c r="O326" s="1">
        <v>0</v>
      </c>
      <c r="P326" s="1">
        <v>1</v>
      </c>
      <c r="Q326" s="3"/>
      <c r="R326" s="3"/>
      <c r="S326" s="3">
        <v>120000</v>
      </c>
      <c r="T326" s="1">
        <v>1.3260270000000001</v>
      </c>
      <c r="U326" s="3"/>
      <c r="V326" s="3"/>
      <c r="X326" s="1">
        <v>120000</v>
      </c>
      <c r="Y326" s="22">
        <v>1.3260270000000001</v>
      </c>
      <c r="Z326" s="4">
        <f>Table1[[#This Row],[totalTimeKept]]*$AD$3</f>
        <v>19890.405000000002</v>
      </c>
      <c r="AA326" s="4">
        <f>Y326-Z326</f>
        <v>-19889.078973000003</v>
      </c>
    </row>
    <row r="327" spans="1:27" x14ac:dyDescent="0.3">
      <c r="A327" s="1">
        <v>9552074</v>
      </c>
      <c r="B327" s="1" t="s">
        <v>610</v>
      </c>
      <c r="C327" s="1" t="s">
        <v>179</v>
      </c>
      <c r="D327" s="1">
        <v>7521190</v>
      </c>
      <c r="E327" s="1">
        <v>0</v>
      </c>
      <c r="F327" s="1" t="s">
        <v>25</v>
      </c>
      <c r="G327" s="1" t="s">
        <v>46</v>
      </c>
      <c r="H327" s="2">
        <v>41316</v>
      </c>
      <c r="I327" s="1" t="s">
        <v>25</v>
      </c>
      <c r="J327" s="2">
        <v>41869</v>
      </c>
      <c r="K327" s="3"/>
      <c r="L327" s="3">
        <v>80400</v>
      </c>
      <c r="M327" s="3">
        <v>80400</v>
      </c>
      <c r="N327" s="1">
        <v>1</v>
      </c>
      <c r="O327" s="1">
        <v>0</v>
      </c>
      <c r="P327" s="1">
        <v>1</v>
      </c>
      <c r="Q327" s="3"/>
      <c r="R327" s="3"/>
      <c r="S327" s="3">
        <v>80400</v>
      </c>
      <c r="T327" s="1">
        <v>1.515069</v>
      </c>
      <c r="U327" s="3"/>
      <c r="V327" s="3"/>
      <c r="X327" s="1">
        <v>80400</v>
      </c>
      <c r="Y327" s="22">
        <v>1.515069</v>
      </c>
      <c r="Z327" s="4">
        <f>Table1[[#This Row],[totalTimeKept]]*$AD$3</f>
        <v>22726.035</v>
      </c>
      <c r="AA327" s="4">
        <f>Y327-Z327</f>
        <v>-22724.519930999999</v>
      </c>
    </row>
    <row r="328" spans="1:27" x14ac:dyDescent="0.3">
      <c r="A328" s="1">
        <v>9571059</v>
      </c>
      <c r="B328" s="1" t="s">
        <v>611</v>
      </c>
      <c r="C328" s="1" t="s">
        <v>612</v>
      </c>
      <c r="D328" s="1">
        <v>6559714</v>
      </c>
      <c r="E328" s="1">
        <v>12000</v>
      </c>
      <c r="F328" s="1" t="s">
        <v>139</v>
      </c>
      <c r="G328" s="1" t="s">
        <v>139</v>
      </c>
      <c r="H328" s="2">
        <v>41385</v>
      </c>
      <c r="I328" s="2">
        <v>42681</v>
      </c>
      <c r="J328" s="2">
        <v>43047</v>
      </c>
      <c r="K328" s="3">
        <v>650000</v>
      </c>
      <c r="L328" s="3">
        <v>775000</v>
      </c>
      <c r="M328" s="3">
        <v>125000</v>
      </c>
      <c r="N328" s="1">
        <v>0</v>
      </c>
      <c r="O328" s="1">
        <v>1</v>
      </c>
      <c r="P328" s="1">
        <v>1</v>
      </c>
      <c r="Q328" s="3"/>
      <c r="R328" s="3"/>
      <c r="S328" s="3">
        <v>137000</v>
      </c>
      <c r="T328" s="1">
        <v>1.00274</v>
      </c>
      <c r="U328" s="3"/>
      <c r="V328" s="3"/>
      <c r="X328" s="1">
        <v>137000</v>
      </c>
      <c r="Y328" s="22">
        <v>1.00274</v>
      </c>
      <c r="Z328" s="4">
        <f>Table1[[#This Row],[totalTimeKept]]*$AD$3</f>
        <v>15041.1</v>
      </c>
      <c r="AA328" s="4">
        <f>Y328-Z328</f>
        <v>-15040.09726</v>
      </c>
    </row>
    <row r="329" spans="1:27" x14ac:dyDescent="0.3">
      <c r="A329" s="1">
        <v>9612869</v>
      </c>
      <c r="B329" s="1" t="s">
        <v>613</v>
      </c>
      <c r="C329" s="1" t="s">
        <v>614</v>
      </c>
      <c r="D329" s="1">
        <v>4562275</v>
      </c>
      <c r="E329" s="1">
        <v>0</v>
      </c>
      <c r="F329" s="1" t="s">
        <v>24</v>
      </c>
      <c r="G329" s="1" t="s">
        <v>24</v>
      </c>
      <c r="H329" s="2">
        <v>41366</v>
      </c>
      <c r="I329" s="2">
        <v>43779</v>
      </c>
      <c r="J329" s="2">
        <v>44535</v>
      </c>
      <c r="K329" s="3">
        <v>95000</v>
      </c>
      <c r="L329" s="3">
        <v>36202</v>
      </c>
      <c r="M329" s="3">
        <v>-58798</v>
      </c>
      <c r="N329" s="1">
        <v>0</v>
      </c>
      <c r="O329" s="1">
        <v>1</v>
      </c>
      <c r="P329" s="1">
        <v>1</v>
      </c>
      <c r="Q329" s="3">
        <v>0</v>
      </c>
      <c r="R329" s="3"/>
      <c r="S329" s="3">
        <v>-58798</v>
      </c>
      <c r="T329" s="1">
        <v>2.0712329999999999</v>
      </c>
      <c r="U329" s="3">
        <v>105000</v>
      </c>
      <c r="V329" s="3">
        <v>0</v>
      </c>
      <c r="W329" s="1">
        <v>1.627397</v>
      </c>
      <c r="X329" s="1">
        <v>46202</v>
      </c>
      <c r="Y329" s="22">
        <v>3.6986300000000001</v>
      </c>
      <c r="Z329" s="4">
        <f>Table1[[#This Row],[totalTimeKept]]*$AD$3</f>
        <v>55479.450000000004</v>
      </c>
      <c r="AA329" s="4">
        <f>Y329-Z329</f>
        <v>-55475.751370000005</v>
      </c>
    </row>
    <row r="330" spans="1:27" x14ac:dyDescent="0.3">
      <c r="A330" s="1">
        <v>9646039</v>
      </c>
      <c r="B330" s="1" t="s">
        <v>615</v>
      </c>
      <c r="C330" s="1" t="s">
        <v>199</v>
      </c>
      <c r="D330" s="1">
        <v>7732950</v>
      </c>
      <c r="E330" s="1">
        <v>0</v>
      </c>
      <c r="F330" s="1" t="s">
        <v>25</v>
      </c>
      <c r="G330" s="1" t="s">
        <v>46</v>
      </c>
      <c r="H330" s="2">
        <v>41659</v>
      </c>
      <c r="I330" s="1" t="s">
        <v>25</v>
      </c>
      <c r="J330" s="2">
        <v>42268</v>
      </c>
      <c r="K330" s="3"/>
      <c r="L330" s="3">
        <v>40000</v>
      </c>
      <c r="M330" s="3">
        <v>40000</v>
      </c>
      <c r="N330" s="1">
        <v>1</v>
      </c>
      <c r="O330" s="1">
        <v>0</v>
      </c>
      <c r="P330" s="1">
        <v>1</v>
      </c>
      <c r="Q330" s="3"/>
      <c r="R330" s="3"/>
      <c r="S330" s="3">
        <v>40000</v>
      </c>
      <c r="T330" s="1">
        <v>1.668493</v>
      </c>
      <c r="U330" s="3"/>
      <c r="V330" s="3"/>
      <c r="X330" s="1">
        <v>40000</v>
      </c>
      <c r="Y330" s="22">
        <v>1.668493</v>
      </c>
      <c r="Z330" s="4">
        <f>Table1[[#This Row],[totalTimeKept]]*$AD$3</f>
        <v>25027.395</v>
      </c>
      <c r="AA330" s="4">
        <f>Y330-Z330</f>
        <v>-25025.726506999999</v>
      </c>
    </row>
    <row r="331" spans="1:27" x14ac:dyDescent="0.3">
      <c r="A331" s="1">
        <v>9651264</v>
      </c>
      <c r="B331" s="1" t="s">
        <v>616</v>
      </c>
      <c r="C331" s="1" t="s">
        <v>137</v>
      </c>
      <c r="D331" s="1">
        <v>7177687</v>
      </c>
      <c r="E331" s="1">
        <v>0</v>
      </c>
      <c r="F331" s="1" t="s">
        <v>25</v>
      </c>
      <c r="G331" s="1" t="s">
        <v>349</v>
      </c>
      <c r="H331" s="2">
        <v>41678</v>
      </c>
      <c r="I331" s="1" t="s">
        <v>25</v>
      </c>
      <c r="J331" s="2">
        <v>41949</v>
      </c>
      <c r="K331" s="3"/>
      <c r="L331" s="3">
        <v>40000</v>
      </c>
      <c r="M331" s="3">
        <v>40000</v>
      </c>
      <c r="N331" s="1">
        <v>1</v>
      </c>
      <c r="O331" s="1">
        <v>0</v>
      </c>
      <c r="P331" s="1">
        <v>1</v>
      </c>
      <c r="Q331" s="3"/>
      <c r="R331" s="3"/>
      <c r="S331" s="3">
        <v>40000</v>
      </c>
      <c r="T331" s="1">
        <v>0.74246570000000001</v>
      </c>
      <c r="U331" s="3"/>
      <c r="V331" s="3"/>
      <c r="X331" s="1">
        <v>40000</v>
      </c>
      <c r="Y331" s="22">
        <v>0.74246570000000001</v>
      </c>
      <c r="Z331" s="4">
        <f>Table1[[#This Row],[totalTimeKept]]*$AD$3</f>
        <v>11136.985500000001</v>
      </c>
      <c r="AA331" s="4">
        <f>Y331-Z331</f>
        <v>-11136.243034300001</v>
      </c>
    </row>
    <row r="332" spans="1:27" x14ac:dyDescent="0.3">
      <c r="A332" s="1">
        <v>9652949</v>
      </c>
      <c r="B332" s="1" t="s">
        <v>617</v>
      </c>
      <c r="C332" s="1" t="s">
        <v>258</v>
      </c>
      <c r="D332" s="1">
        <v>8293876</v>
      </c>
      <c r="E332" s="1">
        <v>0</v>
      </c>
      <c r="F332" s="1" t="s">
        <v>25</v>
      </c>
      <c r="G332" s="1" t="s">
        <v>46</v>
      </c>
      <c r="H332" s="2">
        <v>41664</v>
      </c>
      <c r="I332" s="1" t="s">
        <v>25</v>
      </c>
      <c r="J332" s="2">
        <v>42194</v>
      </c>
      <c r="K332" s="3"/>
      <c r="L332" s="3">
        <v>280000</v>
      </c>
      <c r="M332" s="3">
        <v>280000</v>
      </c>
      <c r="N332" s="1">
        <v>1</v>
      </c>
      <c r="O332" s="1">
        <v>0</v>
      </c>
      <c r="P332" s="1">
        <v>1</v>
      </c>
      <c r="Q332" s="3"/>
      <c r="R332" s="3"/>
      <c r="S332" s="3">
        <v>280000</v>
      </c>
      <c r="T332" s="1">
        <v>1.4520550000000001</v>
      </c>
      <c r="U332" s="3"/>
      <c r="V332" s="3"/>
      <c r="X332" s="1">
        <v>280000</v>
      </c>
      <c r="Y332" s="22">
        <v>1.4520550000000001</v>
      </c>
      <c r="Z332" s="4">
        <f>Table1[[#This Row],[totalTimeKept]]*$AD$3</f>
        <v>21780.825000000001</v>
      </c>
      <c r="AA332" s="4">
        <f>Y332-Z332</f>
        <v>-21779.372944999999</v>
      </c>
    </row>
    <row r="333" spans="1:27" x14ac:dyDescent="0.3">
      <c r="A333" s="1">
        <v>9652955</v>
      </c>
      <c r="B333" s="1" t="s">
        <v>618</v>
      </c>
      <c r="C333" s="1" t="s">
        <v>619</v>
      </c>
      <c r="D333" s="1">
        <v>4683382</v>
      </c>
      <c r="E333" s="1">
        <v>0</v>
      </c>
      <c r="F333" s="1" t="s">
        <v>25</v>
      </c>
      <c r="G333" s="1" t="s">
        <v>46</v>
      </c>
      <c r="H333" s="2">
        <v>41673</v>
      </c>
      <c r="I333" s="1" t="s">
        <v>25</v>
      </c>
      <c r="J333" s="2">
        <v>42331</v>
      </c>
      <c r="K333" s="3"/>
      <c r="L333" s="3">
        <v>71782</v>
      </c>
      <c r="M333" s="3">
        <v>71782</v>
      </c>
      <c r="N333" s="1">
        <v>1</v>
      </c>
      <c r="O333" s="1">
        <v>0</v>
      </c>
      <c r="P333" s="1">
        <v>1</v>
      </c>
      <c r="Q333" s="3"/>
      <c r="R333" s="3"/>
      <c r="S333" s="3">
        <v>71782</v>
      </c>
      <c r="T333" s="1">
        <v>1.80274</v>
      </c>
      <c r="U333" s="3"/>
      <c r="V333" s="3"/>
      <c r="X333" s="1">
        <v>71782</v>
      </c>
      <c r="Y333" s="22">
        <v>1.80274</v>
      </c>
      <c r="Z333" s="4">
        <f>Table1[[#This Row],[totalTimeKept]]*$AD$3</f>
        <v>27041.1</v>
      </c>
      <c r="AA333" s="4">
        <f>Y333-Z333</f>
        <v>-27039.297259999999</v>
      </c>
    </row>
    <row r="334" spans="1:27" x14ac:dyDescent="0.3">
      <c r="A334" s="1">
        <v>9655227</v>
      </c>
      <c r="B334" s="1" t="s">
        <v>620</v>
      </c>
      <c r="C334" s="1" t="s">
        <v>331</v>
      </c>
      <c r="D334" s="1">
        <v>8813518</v>
      </c>
      <c r="E334" s="1">
        <v>0</v>
      </c>
      <c r="F334" s="1" t="s">
        <v>25</v>
      </c>
      <c r="G334" s="1" t="s">
        <v>46</v>
      </c>
      <c r="H334" s="2">
        <v>41686</v>
      </c>
      <c r="I334" s="2" t="s">
        <v>25</v>
      </c>
      <c r="J334" s="2">
        <v>42266</v>
      </c>
      <c r="K334" s="3"/>
      <c r="L334" s="3">
        <v>50000</v>
      </c>
      <c r="M334" s="3">
        <v>50000</v>
      </c>
      <c r="N334" s="1">
        <v>1</v>
      </c>
      <c r="O334" s="1">
        <v>0</v>
      </c>
      <c r="P334" s="1">
        <v>1</v>
      </c>
      <c r="Q334" s="3"/>
      <c r="R334" s="3"/>
      <c r="S334" s="3">
        <v>50000</v>
      </c>
      <c r="T334" s="1">
        <v>1.5890409999999999</v>
      </c>
      <c r="U334" s="3"/>
      <c r="V334" s="3"/>
      <c r="X334" s="1">
        <v>50000</v>
      </c>
      <c r="Y334" s="22">
        <v>1.5890409999999999</v>
      </c>
      <c r="Z334" s="4">
        <f>Table1[[#This Row],[totalTimeKept]]*$AD$3</f>
        <v>23835.614999999998</v>
      </c>
      <c r="AA334" s="4">
        <f>Y334-Z334</f>
        <v>-23834.025958999999</v>
      </c>
    </row>
    <row r="335" spans="1:27" x14ac:dyDescent="0.3">
      <c r="A335" s="1">
        <v>9655230</v>
      </c>
      <c r="B335" s="1" t="s">
        <v>621</v>
      </c>
      <c r="C335" s="1" t="s">
        <v>622</v>
      </c>
      <c r="D335" s="1">
        <v>8067432</v>
      </c>
      <c r="E335" s="1">
        <v>0</v>
      </c>
      <c r="F335" s="1" t="s">
        <v>25</v>
      </c>
      <c r="G335" s="1" t="s">
        <v>292</v>
      </c>
      <c r="H335" s="2">
        <v>41686</v>
      </c>
      <c r="I335" s="1" t="s">
        <v>25</v>
      </c>
      <c r="J335" s="2">
        <v>42514</v>
      </c>
      <c r="K335" s="3"/>
      <c r="L335" s="3">
        <v>13500</v>
      </c>
      <c r="M335" s="3">
        <v>13500</v>
      </c>
      <c r="N335" s="1">
        <v>1</v>
      </c>
      <c r="O335" s="1">
        <v>0</v>
      </c>
      <c r="P335" s="1">
        <v>1</v>
      </c>
      <c r="Q335" s="3"/>
      <c r="R335" s="3"/>
      <c r="S335" s="3">
        <v>13500</v>
      </c>
      <c r="T335" s="1">
        <v>2.2684929999999999</v>
      </c>
      <c r="U335" s="3"/>
      <c r="V335" s="3"/>
      <c r="X335" s="1">
        <v>13500</v>
      </c>
      <c r="Y335" s="22">
        <v>2.2684929999999999</v>
      </c>
      <c r="Z335" s="4">
        <f>Table1[[#This Row],[totalTimeKept]]*$AD$3</f>
        <v>34027.394999999997</v>
      </c>
      <c r="AA335" s="4">
        <f>Y335-Z335</f>
        <v>-34025.126506999994</v>
      </c>
    </row>
    <row r="336" spans="1:27" x14ac:dyDescent="0.3">
      <c r="A336" s="1">
        <v>9656004</v>
      </c>
      <c r="B336" s="1" t="s">
        <v>623</v>
      </c>
      <c r="C336" s="1" t="s">
        <v>171</v>
      </c>
      <c r="D336" s="1">
        <v>7485686</v>
      </c>
      <c r="E336" s="1">
        <v>0</v>
      </c>
      <c r="F336" s="1" t="s">
        <v>25</v>
      </c>
      <c r="G336" s="1" t="s">
        <v>349</v>
      </c>
      <c r="H336" s="2">
        <v>41687</v>
      </c>
      <c r="I336" s="1" t="s">
        <v>25</v>
      </c>
      <c r="J336" s="2">
        <v>41946</v>
      </c>
      <c r="K336" s="3"/>
      <c r="L336" s="3">
        <v>70000</v>
      </c>
      <c r="M336" s="3">
        <v>70000</v>
      </c>
      <c r="N336" s="1">
        <v>1</v>
      </c>
      <c r="O336" s="1">
        <v>0</v>
      </c>
      <c r="P336" s="1">
        <v>1</v>
      </c>
      <c r="Q336" s="3"/>
      <c r="R336" s="3"/>
      <c r="S336" s="3">
        <v>70000</v>
      </c>
      <c r="T336" s="1">
        <v>0.70958909999999997</v>
      </c>
      <c r="U336" s="3"/>
      <c r="V336" s="3"/>
      <c r="X336" s="1">
        <v>70000</v>
      </c>
      <c r="Y336" s="22">
        <v>0.70958909999999997</v>
      </c>
      <c r="Z336" s="4">
        <f>Table1[[#This Row],[totalTimeKept]]*$AD$3</f>
        <v>10643.836499999999</v>
      </c>
      <c r="AA336" s="4">
        <f>Y336-Z336</f>
        <v>-10643.126910899999</v>
      </c>
    </row>
    <row r="337" spans="1:27" x14ac:dyDescent="0.3">
      <c r="A337" s="1">
        <v>9658180</v>
      </c>
      <c r="B337" s="1" t="s">
        <v>624</v>
      </c>
      <c r="C337" s="1" t="s">
        <v>625</v>
      </c>
      <c r="D337" s="1">
        <v>6829061</v>
      </c>
      <c r="E337" s="1">
        <v>0</v>
      </c>
      <c r="F337" s="1" t="s">
        <v>139</v>
      </c>
      <c r="G337" s="1" t="s">
        <v>25</v>
      </c>
      <c r="H337" s="2">
        <v>41686</v>
      </c>
      <c r="I337" s="2">
        <v>43048</v>
      </c>
      <c r="J337" s="2" t="s">
        <v>25</v>
      </c>
      <c r="K337" s="3">
        <v>100000</v>
      </c>
      <c r="L337" s="3"/>
      <c r="M337" s="3">
        <v>-100000</v>
      </c>
      <c r="N337" s="1">
        <v>0</v>
      </c>
      <c r="O337" s="1">
        <v>1</v>
      </c>
      <c r="P337" s="1">
        <v>0</v>
      </c>
      <c r="Q337" s="3">
        <v>0</v>
      </c>
      <c r="R337" s="3"/>
      <c r="S337" s="3">
        <v>-100000</v>
      </c>
      <c r="T337" s="1">
        <v>7.279452</v>
      </c>
      <c r="U337" s="3"/>
      <c r="V337" s="3"/>
      <c r="X337" s="1">
        <v>-100000</v>
      </c>
      <c r="Y337" s="22">
        <v>7.279452</v>
      </c>
      <c r="Z337" s="4">
        <f>Table1[[#This Row],[totalTimeKept]]*$AD$3</f>
        <v>109191.78</v>
      </c>
      <c r="AA337" s="4">
        <f>Y337-Z337</f>
        <v>-109184.500548</v>
      </c>
    </row>
    <row r="338" spans="1:27" x14ac:dyDescent="0.3">
      <c r="A338" s="1">
        <v>9658196</v>
      </c>
      <c r="B338" s="1" t="s">
        <v>626</v>
      </c>
      <c r="C338" s="1" t="s">
        <v>252</v>
      </c>
      <c r="D338" s="1">
        <v>8266167</v>
      </c>
      <c r="E338" s="1">
        <v>0</v>
      </c>
      <c r="F338" s="1" t="s">
        <v>25</v>
      </c>
      <c r="G338" s="1" t="s">
        <v>46</v>
      </c>
      <c r="H338" s="2">
        <v>41666</v>
      </c>
      <c r="I338" s="1" t="s">
        <v>25</v>
      </c>
      <c r="J338" s="2">
        <v>42262</v>
      </c>
      <c r="K338" s="3"/>
      <c r="L338" s="3">
        <v>350000</v>
      </c>
      <c r="M338" s="3">
        <v>350000</v>
      </c>
      <c r="N338" s="1">
        <v>1</v>
      </c>
      <c r="O338" s="1">
        <v>0</v>
      </c>
      <c r="P338" s="1">
        <v>1</v>
      </c>
      <c r="Q338" s="3"/>
      <c r="R338" s="3"/>
      <c r="S338" s="3">
        <v>350000</v>
      </c>
      <c r="T338" s="1">
        <v>1.6328769999999999</v>
      </c>
      <c r="U338" s="3"/>
      <c r="V338" s="3"/>
      <c r="X338" s="1">
        <v>350000</v>
      </c>
      <c r="Y338" s="22">
        <v>1.6328769999999999</v>
      </c>
      <c r="Z338" s="4">
        <f>Table1[[#This Row],[totalTimeKept]]*$AD$3</f>
        <v>24493.154999999999</v>
      </c>
      <c r="AA338" s="4">
        <f>Y338-Z338</f>
        <v>-24491.522122999999</v>
      </c>
    </row>
    <row r="339" spans="1:27" x14ac:dyDescent="0.3">
      <c r="A339" s="1">
        <v>9658203</v>
      </c>
      <c r="B339" s="1" t="s">
        <v>627</v>
      </c>
      <c r="C339" s="1" t="s">
        <v>91</v>
      </c>
      <c r="D339" s="1">
        <v>6226813</v>
      </c>
      <c r="E339" s="1">
        <v>0</v>
      </c>
      <c r="F339" s="1" t="s">
        <v>25</v>
      </c>
      <c r="G339" s="1" t="s">
        <v>46</v>
      </c>
      <c r="H339" s="2">
        <v>41670</v>
      </c>
      <c r="I339" s="2" t="s">
        <v>25</v>
      </c>
      <c r="J339" s="2">
        <v>42194</v>
      </c>
      <c r="K339" s="3"/>
      <c r="L339" s="3">
        <v>250000</v>
      </c>
      <c r="M339" s="3">
        <v>250000</v>
      </c>
      <c r="N339" s="1">
        <v>1</v>
      </c>
      <c r="O339" s="1">
        <v>0</v>
      </c>
      <c r="P339" s="1">
        <v>1</v>
      </c>
      <c r="Q339" s="3"/>
      <c r="R339" s="3"/>
      <c r="S339" s="3">
        <v>250000</v>
      </c>
      <c r="T339" s="1">
        <v>1.435616</v>
      </c>
      <c r="U339" s="3"/>
      <c r="V339" s="3"/>
      <c r="X339" s="1">
        <v>250000</v>
      </c>
      <c r="Y339" s="22">
        <v>1.435616</v>
      </c>
      <c r="Z339" s="4">
        <f>Table1[[#This Row],[totalTimeKept]]*$AD$3</f>
        <v>21534.240000000002</v>
      </c>
      <c r="AA339" s="4">
        <f>Y339-Z339</f>
        <v>-21532.804384000003</v>
      </c>
    </row>
    <row r="340" spans="1:27" x14ac:dyDescent="0.3">
      <c r="A340" s="1">
        <v>9658218</v>
      </c>
      <c r="B340" s="1" t="s">
        <v>628</v>
      </c>
      <c r="C340" s="1" t="s">
        <v>217</v>
      </c>
      <c r="D340" s="1">
        <v>7965659</v>
      </c>
      <c r="E340" s="1">
        <v>0</v>
      </c>
      <c r="F340" s="1" t="s">
        <v>25</v>
      </c>
      <c r="G340" s="1" t="s">
        <v>46</v>
      </c>
      <c r="H340" s="2">
        <v>41678</v>
      </c>
      <c r="I340" s="2" t="s">
        <v>25</v>
      </c>
      <c r="J340" s="2">
        <v>42267</v>
      </c>
      <c r="K340" s="3"/>
      <c r="L340" s="3">
        <v>25000</v>
      </c>
      <c r="M340" s="3">
        <v>25000</v>
      </c>
      <c r="N340" s="1">
        <v>1</v>
      </c>
      <c r="O340" s="1">
        <v>0</v>
      </c>
      <c r="P340" s="1">
        <v>1</v>
      </c>
      <c r="Q340" s="3"/>
      <c r="R340" s="3"/>
      <c r="S340" s="3">
        <v>25000</v>
      </c>
      <c r="T340" s="1">
        <v>1.613699</v>
      </c>
      <c r="U340" s="3"/>
      <c r="V340" s="3"/>
      <c r="X340" s="1">
        <v>25000</v>
      </c>
      <c r="Y340" s="22">
        <v>1.613699</v>
      </c>
      <c r="Z340" s="4">
        <f>Table1[[#This Row],[totalTimeKept]]*$AD$3</f>
        <v>24205.485000000001</v>
      </c>
      <c r="AA340" s="4">
        <f>Y340-Z340</f>
        <v>-24203.871300999999</v>
      </c>
    </row>
    <row r="341" spans="1:27" x14ac:dyDescent="0.3">
      <c r="A341" s="1">
        <v>9666007</v>
      </c>
      <c r="B341" s="1" t="s">
        <v>629</v>
      </c>
      <c r="C341" s="1" t="s">
        <v>542</v>
      </c>
      <c r="D341" s="1">
        <v>6351855</v>
      </c>
      <c r="E341" s="1">
        <v>0</v>
      </c>
      <c r="F341" s="1" t="s">
        <v>25</v>
      </c>
      <c r="G341" s="1" t="s">
        <v>46</v>
      </c>
      <c r="H341" s="2">
        <v>41700</v>
      </c>
      <c r="I341" s="1" t="s">
        <v>25</v>
      </c>
      <c r="J341" s="2">
        <v>42264</v>
      </c>
      <c r="K341" s="3"/>
      <c r="L341" s="3">
        <v>285000</v>
      </c>
      <c r="M341" s="3">
        <v>285000</v>
      </c>
      <c r="N341" s="1">
        <v>1</v>
      </c>
      <c r="O341" s="1">
        <v>0</v>
      </c>
      <c r="P341" s="1">
        <v>1</v>
      </c>
      <c r="Q341" s="3"/>
      <c r="R341" s="3"/>
      <c r="S341" s="3">
        <v>285000</v>
      </c>
      <c r="T341" s="1">
        <v>1.5452049999999999</v>
      </c>
      <c r="U341" s="3"/>
      <c r="V341" s="3"/>
      <c r="X341" s="1">
        <v>285000</v>
      </c>
      <c r="Y341" s="22">
        <v>1.5452049999999999</v>
      </c>
      <c r="Z341" s="4">
        <f>Table1[[#This Row],[totalTimeKept]]*$AD$3</f>
        <v>23178.075000000001</v>
      </c>
      <c r="AA341" s="4">
        <f>Y341-Z341</f>
        <v>-23176.529795000002</v>
      </c>
    </row>
    <row r="342" spans="1:27" x14ac:dyDescent="0.3">
      <c r="A342" s="1">
        <v>9666580</v>
      </c>
      <c r="B342" s="1" t="s">
        <v>630</v>
      </c>
      <c r="C342" s="1" t="s">
        <v>631</v>
      </c>
      <c r="D342" s="1">
        <v>7412239</v>
      </c>
      <c r="E342" s="1">
        <v>0</v>
      </c>
      <c r="F342" s="1" t="s">
        <v>25</v>
      </c>
      <c r="G342" s="1" t="s">
        <v>349</v>
      </c>
      <c r="H342" s="2">
        <v>41687</v>
      </c>
      <c r="I342" s="2" t="s">
        <v>25</v>
      </c>
      <c r="J342" s="2">
        <v>41948</v>
      </c>
      <c r="K342" s="3"/>
      <c r="L342" s="3">
        <v>125000</v>
      </c>
      <c r="M342" s="3">
        <v>125000</v>
      </c>
      <c r="N342" s="1">
        <v>1</v>
      </c>
      <c r="O342" s="1">
        <v>0</v>
      </c>
      <c r="P342" s="1">
        <v>1</v>
      </c>
      <c r="Q342" s="3"/>
      <c r="R342" s="3"/>
      <c r="S342" s="3">
        <v>125000</v>
      </c>
      <c r="T342" s="1">
        <v>0.7150685</v>
      </c>
      <c r="U342" s="3"/>
      <c r="V342" s="3"/>
      <c r="X342" s="1">
        <v>125000</v>
      </c>
      <c r="Y342" s="22">
        <v>0.7150685</v>
      </c>
      <c r="Z342" s="4">
        <f>Table1[[#This Row],[totalTimeKept]]*$AD$3</f>
        <v>10726.0275</v>
      </c>
      <c r="AA342" s="4">
        <f>Y342-Z342</f>
        <v>-10725.3124315</v>
      </c>
    </row>
    <row r="343" spans="1:27" x14ac:dyDescent="0.3">
      <c r="A343" s="1">
        <v>9666581</v>
      </c>
      <c r="B343" s="1" t="s">
        <v>632</v>
      </c>
      <c r="C343" s="1" t="s">
        <v>633</v>
      </c>
      <c r="D343" s="1">
        <v>8701747</v>
      </c>
      <c r="E343" s="1">
        <v>0</v>
      </c>
      <c r="F343" s="1" t="s">
        <v>25</v>
      </c>
      <c r="G343" s="1" t="s">
        <v>46</v>
      </c>
      <c r="H343" s="2">
        <v>41687</v>
      </c>
      <c r="I343" s="1" t="s">
        <v>25</v>
      </c>
      <c r="J343" s="2">
        <v>42267</v>
      </c>
      <c r="K343" s="3"/>
      <c r="L343" s="3">
        <v>22000</v>
      </c>
      <c r="M343" s="3">
        <v>22000</v>
      </c>
      <c r="N343" s="1">
        <v>1</v>
      </c>
      <c r="O343" s="1">
        <v>0</v>
      </c>
      <c r="P343" s="1">
        <v>1</v>
      </c>
      <c r="Q343" s="3"/>
      <c r="R343" s="3"/>
      <c r="S343" s="3">
        <v>22000</v>
      </c>
      <c r="T343" s="1">
        <v>1.5890409999999999</v>
      </c>
      <c r="U343" s="3"/>
      <c r="V343" s="3"/>
      <c r="X343" s="1">
        <v>22000</v>
      </c>
      <c r="Y343" s="22">
        <v>1.5890409999999999</v>
      </c>
      <c r="Z343" s="4">
        <f>Table1[[#This Row],[totalTimeKept]]*$AD$3</f>
        <v>23835.614999999998</v>
      </c>
      <c r="AA343" s="4">
        <f>Y343-Z343</f>
        <v>-23834.025958999999</v>
      </c>
    </row>
    <row r="344" spans="1:27" x14ac:dyDescent="0.3">
      <c r="A344" s="1">
        <v>9666586</v>
      </c>
      <c r="B344" s="1" t="s">
        <v>634</v>
      </c>
      <c r="C344" s="1" t="s">
        <v>272</v>
      </c>
      <c r="D344" s="1">
        <v>8337664</v>
      </c>
      <c r="E344" s="1">
        <v>0</v>
      </c>
      <c r="F344" s="1" t="s">
        <v>25</v>
      </c>
      <c r="G344" s="1" t="s">
        <v>46</v>
      </c>
      <c r="H344" s="2">
        <v>41689</v>
      </c>
      <c r="I344" s="1" t="s">
        <v>25</v>
      </c>
      <c r="J344" s="2">
        <v>42227</v>
      </c>
      <c r="K344" s="3"/>
      <c r="L344" s="3">
        <v>250000</v>
      </c>
      <c r="M344" s="3">
        <v>250000</v>
      </c>
      <c r="N344" s="1">
        <v>1</v>
      </c>
      <c r="O344" s="1">
        <v>0</v>
      </c>
      <c r="P344" s="1">
        <v>1</v>
      </c>
      <c r="Q344" s="3"/>
      <c r="R344" s="3"/>
      <c r="S344" s="3">
        <v>250000</v>
      </c>
      <c r="T344" s="1">
        <v>1.473973</v>
      </c>
      <c r="U344" s="3"/>
      <c r="V344" s="3"/>
      <c r="X344" s="1">
        <v>250000</v>
      </c>
      <c r="Y344" s="22">
        <v>1.473973</v>
      </c>
      <c r="Z344" s="4">
        <f>Table1[[#This Row],[totalTimeKept]]*$AD$3</f>
        <v>22109.595000000001</v>
      </c>
      <c r="AA344" s="4">
        <f>Y344-Z344</f>
        <v>-22108.121027000001</v>
      </c>
    </row>
    <row r="345" spans="1:27" x14ac:dyDescent="0.3">
      <c r="A345" s="1">
        <v>9668219</v>
      </c>
      <c r="B345" s="1" t="s">
        <v>635</v>
      </c>
      <c r="C345" s="1" t="s">
        <v>323</v>
      </c>
      <c r="D345" s="1">
        <v>8611600</v>
      </c>
      <c r="E345" s="1">
        <v>0</v>
      </c>
      <c r="F345" s="1" t="s">
        <v>25</v>
      </c>
      <c r="G345" s="1" t="s">
        <v>46</v>
      </c>
      <c r="H345" s="2">
        <v>41691</v>
      </c>
      <c r="I345" s="1" t="s">
        <v>25</v>
      </c>
      <c r="J345" s="2">
        <v>42194</v>
      </c>
      <c r="K345" s="3"/>
      <c r="L345" s="3">
        <v>125000</v>
      </c>
      <c r="M345" s="3">
        <v>125000</v>
      </c>
      <c r="N345" s="1">
        <v>1</v>
      </c>
      <c r="O345" s="1">
        <v>0</v>
      </c>
      <c r="P345" s="1">
        <v>1</v>
      </c>
      <c r="Q345" s="3"/>
      <c r="R345" s="3"/>
      <c r="S345" s="3">
        <v>125000</v>
      </c>
      <c r="T345" s="1">
        <v>1.378082</v>
      </c>
      <c r="U345" s="3"/>
      <c r="V345" s="3"/>
      <c r="X345" s="1">
        <v>125000</v>
      </c>
      <c r="Y345" s="22">
        <v>1.378082</v>
      </c>
      <c r="Z345" s="4">
        <f>Table1[[#This Row],[totalTimeKept]]*$AD$3</f>
        <v>20671.23</v>
      </c>
      <c r="AA345" s="4">
        <f>Y345-Z345</f>
        <v>-20669.851918</v>
      </c>
    </row>
    <row r="346" spans="1:27" x14ac:dyDescent="0.3">
      <c r="A346" s="1">
        <v>9668221</v>
      </c>
      <c r="B346" s="1" t="s">
        <v>636</v>
      </c>
      <c r="C346" s="1" t="s">
        <v>59</v>
      </c>
      <c r="D346" s="1">
        <v>4670644</v>
      </c>
      <c r="E346" s="1">
        <v>0</v>
      </c>
      <c r="F346" s="1" t="s">
        <v>25</v>
      </c>
      <c r="G346" s="1" t="s">
        <v>46</v>
      </c>
      <c r="H346" s="2">
        <v>41693</v>
      </c>
      <c r="I346" s="1" t="s">
        <v>25</v>
      </c>
      <c r="J346" s="2">
        <v>42267</v>
      </c>
      <c r="K346" s="3"/>
      <c r="L346" s="3">
        <v>85000</v>
      </c>
      <c r="M346" s="3">
        <v>85000</v>
      </c>
      <c r="N346" s="1">
        <v>1</v>
      </c>
      <c r="O346" s="1">
        <v>0</v>
      </c>
      <c r="P346" s="1">
        <v>1</v>
      </c>
      <c r="Q346" s="3"/>
      <c r="R346" s="3"/>
      <c r="S346" s="3">
        <v>85000</v>
      </c>
      <c r="T346" s="1">
        <v>1.572603</v>
      </c>
      <c r="U346" s="3"/>
      <c r="V346" s="3"/>
      <c r="X346" s="1">
        <v>85000</v>
      </c>
      <c r="Y346" s="22">
        <v>1.572603</v>
      </c>
      <c r="Z346" s="4">
        <f>Table1[[#This Row],[totalTimeKept]]*$AD$3</f>
        <v>23589.044999999998</v>
      </c>
      <c r="AA346" s="4">
        <f>Y346-Z346</f>
        <v>-23587.472396999998</v>
      </c>
    </row>
    <row r="347" spans="1:27" x14ac:dyDescent="0.3">
      <c r="A347" s="1">
        <v>9668241</v>
      </c>
      <c r="B347" s="1" t="s">
        <v>637</v>
      </c>
      <c r="C347" s="1" t="s">
        <v>348</v>
      </c>
      <c r="D347" s="1">
        <v>7778152</v>
      </c>
      <c r="E347" s="1">
        <v>0</v>
      </c>
      <c r="F347" s="1" t="s">
        <v>25</v>
      </c>
      <c r="G347" s="1" t="s">
        <v>349</v>
      </c>
      <c r="H347" s="2">
        <v>41707</v>
      </c>
      <c r="I347" s="1" t="s">
        <v>25</v>
      </c>
      <c r="J347" s="2">
        <v>41950</v>
      </c>
      <c r="K347" s="3"/>
      <c r="L347" s="3">
        <v>185000</v>
      </c>
      <c r="M347" s="3">
        <v>185000</v>
      </c>
      <c r="N347" s="1">
        <v>1</v>
      </c>
      <c r="O347" s="1">
        <v>0</v>
      </c>
      <c r="P347" s="1">
        <v>1</v>
      </c>
      <c r="Q347" s="3"/>
      <c r="R347" s="3"/>
      <c r="S347" s="3">
        <v>185000</v>
      </c>
      <c r="T347" s="1">
        <v>0.66575340000000005</v>
      </c>
      <c r="U347" s="3"/>
      <c r="V347" s="3"/>
      <c r="X347" s="1">
        <v>185000</v>
      </c>
      <c r="Y347" s="22">
        <v>0.66575340000000005</v>
      </c>
      <c r="Z347" s="4">
        <f>Table1[[#This Row],[totalTimeKept]]*$AD$3</f>
        <v>9986.3010000000013</v>
      </c>
      <c r="AA347" s="4">
        <f>Y347-Z347</f>
        <v>-9985.6352466000008</v>
      </c>
    </row>
    <row r="348" spans="1:27" x14ac:dyDescent="0.3">
      <c r="A348" s="1">
        <v>9670291</v>
      </c>
      <c r="B348" s="1" t="s">
        <v>638</v>
      </c>
      <c r="C348" s="1" t="s">
        <v>177</v>
      </c>
      <c r="D348" s="1">
        <v>7506329</v>
      </c>
      <c r="E348" s="1">
        <v>0</v>
      </c>
      <c r="F348" s="1" t="s">
        <v>25</v>
      </c>
      <c r="G348" s="1" t="s">
        <v>46</v>
      </c>
      <c r="H348" s="2">
        <v>41705</v>
      </c>
      <c r="I348" s="1" t="s">
        <v>25</v>
      </c>
      <c r="J348" s="2">
        <v>42261</v>
      </c>
      <c r="K348" s="3"/>
      <c r="L348" s="3">
        <v>150000</v>
      </c>
      <c r="M348" s="3">
        <v>150000</v>
      </c>
      <c r="N348" s="1">
        <v>1</v>
      </c>
      <c r="O348" s="1">
        <v>0</v>
      </c>
      <c r="P348" s="1">
        <v>1</v>
      </c>
      <c r="Q348" s="3"/>
      <c r="R348" s="3"/>
      <c r="S348" s="3">
        <v>150000</v>
      </c>
      <c r="T348" s="1">
        <v>1.523288</v>
      </c>
      <c r="U348" s="3"/>
      <c r="V348" s="3"/>
      <c r="X348" s="1">
        <v>150000</v>
      </c>
      <c r="Y348" s="22">
        <v>1.523288</v>
      </c>
      <c r="Z348" s="4">
        <f>Table1[[#This Row],[totalTimeKept]]*$AD$3</f>
        <v>22849.32</v>
      </c>
      <c r="AA348" s="4">
        <f>Y348-Z348</f>
        <v>-22847.796711999999</v>
      </c>
    </row>
    <row r="349" spans="1:27" x14ac:dyDescent="0.3">
      <c r="A349" s="1">
        <v>9670432</v>
      </c>
      <c r="B349" s="1" t="s">
        <v>639</v>
      </c>
      <c r="C349" s="1" t="s">
        <v>205</v>
      </c>
      <c r="D349" s="1">
        <v>7753394</v>
      </c>
      <c r="E349" s="1">
        <v>0</v>
      </c>
      <c r="F349" s="1" t="s">
        <v>25</v>
      </c>
      <c r="G349" s="1" t="s">
        <v>46</v>
      </c>
      <c r="H349" s="2">
        <v>41710</v>
      </c>
      <c r="I349" s="1" t="s">
        <v>25</v>
      </c>
      <c r="J349" s="2">
        <v>42266</v>
      </c>
      <c r="K349" s="3"/>
      <c r="L349" s="3">
        <v>75000</v>
      </c>
      <c r="M349" s="3">
        <v>75000</v>
      </c>
      <c r="N349" s="1">
        <v>1</v>
      </c>
      <c r="O349" s="1">
        <v>0</v>
      </c>
      <c r="P349" s="1">
        <v>1</v>
      </c>
      <c r="Q349" s="3"/>
      <c r="R349" s="3"/>
      <c r="S349" s="3">
        <v>75000</v>
      </c>
      <c r="T349" s="1">
        <v>1.523288</v>
      </c>
      <c r="U349" s="3"/>
      <c r="V349" s="3"/>
      <c r="X349" s="1">
        <v>75000</v>
      </c>
      <c r="Y349" s="22">
        <v>1.523288</v>
      </c>
      <c r="Z349" s="4">
        <f>Table1[[#This Row],[totalTimeKept]]*$AD$3</f>
        <v>22849.32</v>
      </c>
      <c r="AA349" s="4">
        <f>Y349-Z349</f>
        <v>-22847.796711999999</v>
      </c>
    </row>
    <row r="350" spans="1:27" x14ac:dyDescent="0.3">
      <c r="A350" s="1">
        <v>9671985</v>
      </c>
      <c r="B350" s="1" t="s">
        <v>640</v>
      </c>
      <c r="C350" s="1" t="s">
        <v>641</v>
      </c>
      <c r="D350" s="1">
        <v>8313276</v>
      </c>
      <c r="E350" s="1">
        <v>0</v>
      </c>
      <c r="F350" s="1" t="s">
        <v>139</v>
      </c>
      <c r="G350" s="1" t="s">
        <v>25</v>
      </c>
      <c r="H350" s="2">
        <v>41715</v>
      </c>
      <c r="I350" s="2">
        <v>43474</v>
      </c>
      <c r="J350" s="2" t="s">
        <v>25</v>
      </c>
      <c r="K350" s="3">
        <v>125000</v>
      </c>
      <c r="L350" s="3"/>
      <c r="M350" s="3">
        <v>-125000</v>
      </c>
      <c r="N350" s="1">
        <v>0</v>
      </c>
      <c r="O350" s="1">
        <v>1</v>
      </c>
      <c r="P350" s="1">
        <v>0</v>
      </c>
      <c r="Q350" s="3">
        <v>0</v>
      </c>
      <c r="R350" s="3"/>
      <c r="S350" s="3">
        <v>-125000</v>
      </c>
      <c r="T350" s="1">
        <v>6.1123289999999999</v>
      </c>
      <c r="U350" s="3"/>
      <c r="V350" s="3"/>
      <c r="X350" s="1">
        <v>-125000</v>
      </c>
      <c r="Y350" s="22">
        <v>6.1123289999999999</v>
      </c>
      <c r="Z350" s="4">
        <f>Table1[[#This Row],[totalTimeKept]]*$AD$3</f>
        <v>91684.934999999998</v>
      </c>
      <c r="AA350" s="4">
        <f>Y350-Z350</f>
        <v>-91678.822671000002</v>
      </c>
    </row>
    <row r="351" spans="1:27" x14ac:dyDescent="0.3">
      <c r="A351" s="1">
        <v>9676724</v>
      </c>
      <c r="B351" s="1" t="s">
        <v>642</v>
      </c>
      <c r="C351" s="1" t="s">
        <v>34</v>
      </c>
      <c r="D351" s="1">
        <v>4035517</v>
      </c>
      <c r="E351" s="1">
        <v>0</v>
      </c>
      <c r="F351" s="1" t="s">
        <v>25</v>
      </c>
      <c r="G351" s="1" t="s">
        <v>46</v>
      </c>
      <c r="H351" s="2">
        <v>41714</v>
      </c>
      <c r="I351" s="1" t="s">
        <v>25</v>
      </c>
      <c r="J351" s="2">
        <v>42266</v>
      </c>
      <c r="K351" s="3"/>
      <c r="L351" s="3">
        <v>75000</v>
      </c>
      <c r="M351" s="3">
        <v>75000</v>
      </c>
      <c r="N351" s="1">
        <v>1</v>
      </c>
      <c r="O351" s="1">
        <v>0</v>
      </c>
      <c r="P351" s="1">
        <v>1</v>
      </c>
      <c r="Q351" s="3"/>
      <c r="R351" s="3"/>
      <c r="S351" s="3">
        <v>75000</v>
      </c>
      <c r="T351" s="1">
        <v>1.512329</v>
      </c>
      <c r="U351" s="3"/>
      <c r="V351" s="3"/>
      <c r="X351" s="1">
        <v>75000</v>
      </c>
      <c r="Y351" s="22">
        <v>1.512329</v>
      </c>
      <c r="Z351" s="4">
        <f>Table1[[#This Row],[totalTimeKept]]*$AD$3</f>
        <v>22684.935000000001</v>
      </c>
      <c r="AA351" s="4">
        <f>Y351-Z351</f>
        <v>-22683.422671</v>
      </c>
    </row>
    <row r="352" spans="1:27" x14ac:dyDescent="0.3">
      <c r="A352" s="1">
        <v>9677875</v>
      </c>
      <c r="B352" s="1" t="s">
        <v>643</v>
      </c>
      <c r="C352" s="1" t="s">
        <v>462</v>
      </c>
      <c r="D352" s="1">
        <v>4307108</v>
      </c>
      <c r="E352" s="1">
        <v>0</v>
      </c>
      <c r="F352" s="1" t="s">
        <v>25</v>
      </c>
      <c r="G352" s="1" t="s">
        <v>349</v>
      </c>
      <c r="H352" s="2">
        <v>41719</v>
      </c>
      <c r="I352" s="1" t="s">
        <v>25</v>
      </c>
      <c r="J352" s="2">
        <v>41948</v>
      </c>
      <c r="K352" s="3"/>
      <c r="L352" s="3">
        <v>200000</v>
      </c>
      <c r="M352" s="3">
        <v>200000</v>
      </c>
      <c r="N352" s="1">
        <v>1</v>
      </c>
      <c r="O352" s="1">
        <v>0</v>
      </c>
      <c r="P352" s="1">
        <v>1</v>
      </c>
      <c r="Q352" s="3"/>
      <c r="R352" s="3"/>
      <c r="S352" s="3">
        <v>200000</v>
      </c>
      <c r="T352" s="1">
        <v>0.62739719999999999</v>
      </c>
      <c r="U352" s="3"/>
      <c r="V352" s="3"/>
      <c r="X352" s="1">
        <v>200000</v>
      </c>
      <c r="Y352" s="22">
        <v>0.62739719999999999</v>
      </c>
      <c r="Z352" s="4">
        <f>Table1[[#This Row],[totalTimeKept]]*$AD$3</f>
        <v>9410.9580000000005</v>
      </c>
      <c r="AA352" s="4">
        <f>Y352-Z352</f>
        <v>-9410.3306028000006</v>
      </c>
    </row>
    <row r="353" spans="1:27" x14ac:dyDescent="0.3">
      <c r="A353" s="1">
        <v>9677879</v>
      </c>
      <c r="B353" s="1" t="s">
        <v>644</v>
      </c>
      <c r="C353" s="1" t="s">
        <v>69</v>
      </c>
      <c r="D353" s="1">
        <v>5210668</v>
      </c>
      <c r="E353" s="1">
        <v>0</v>
      </c>
      <c r="F353" s="1" t="s">
        <v>25</v>
      </c>
      <c r="G353" s="1" t="s">
        <v>46</v>
      </c>
      <c r="H353" s="2">
        <v>41707</v>
      </c>
      <c r="I353" s="1" t="s">
        <v>25</v>
      </c>
      <c r="J353" s="2">
        <v>42270</v>
      </c>
      <c r="K353" s="3"/>
      <c r="L353" s="3">
        <v>18000</v>
      </c>
      <c r="M353" s="3">
        <v>18000</v>
      </c>
      <c r="N353" s="1">
        <v>1</v>
      </c>
      <c r="O353" s="1">
        <v>0</v>
      </c>
      <c r="P353" s="1">
        <v>1</v>
      </c>
      <c r="Q353" s="3"/>
      <c r="R353" s="3"/>
      <c r="S353" s="3">
        <v>18000</v>
      </c>
      <c r="T353" s="1">
        <v>1.5424659999999999</v>
      </c>
      <c r="U353" s="3"/>
      <c r="V353" s="3"/>
      <c r="X353" s="1">
        <v>18000</v>
      </c>
      <c r="Y353" s="22">
        <v>1.5424659999999999</v>
      </c>
      <c r="Z353" s="4">
        <f>Table1[[#This Row],[totalTimeKept]]*$AD$3</f>
        <v>23136.989999999998</v>
      </c>
      <c r="AA353" s="4">
        <f>Y353-Z353</f>
        <v>-23135.447533999999</v>
      </c>
    </row>
    <row r="354" spans="1:27" x14ac:dyDescent="0.3">
      <c r="A354" s="1">
        <v>9684118</v>
      </c>
      <c r="B354" s="1" t="s">
        <v>645</v>
      </c>
      <c r="C354" s="1" t="s">
        <v>646</v>
      </c>
      <c r="D354" s="1">
        <v>8603840</v>
      </c>
      <c r="E354" s="1">
        <v>0</v>
      </c>
      <c r="F354" s="1" t="s">
        <v>25</v>
      </c>
      <c r="G354" s="1" t="s">
        <v>46</v>
      </c>
      <c r="H354" s="2">
        <v>41710</v>
      </c>
      <c r="I354" s="2" t="s">
        <v>25</v>
      </c>
      <c r="J354" s="2">
        <v>42264</v>
      </c>
      <c r="K354" s="3"/>
      <c r="L354" s="3">
        <v>175000</v>
      </c>
      <c r="M354" s="3">
        <v>175000</v>
      </c>
      <c r="N354" s="1">
        <v>1</v>
      </c>
      <c r="O354" s="1">
        <v>0</v>
      </c>
      <c r="P354" s="1">
        <v>1</v>
      </c>
      <c r="Q354" s="3"/>
      <c r="R354" s="3"/>
      <c r="S354" s="3">
        <v>175000</v>
      </c>
      <c r="T354" s="1">
        <v>1.517808</v>
      </c>
      <c r="U354" s="3"/>
      <c r="V354" s="3"/>
      <c r="X354" s="1">
        <v>175000</v>
      </c>
      <c r="Y354" s="22">
        <v>1.517808</v>
      </c>
      <c r="Z354" s="4">
        <f>Table1[[#This Row],[totalTimeKept]]*$AD$3</f>
        <v>22767.119999999999</v>
      </c>
      <c r="AA354" s="4">
        <f>Y354-Z354</f>
        <v>-22765.602191999998</v>
      </c>
    </row>
    <row r="355" spans="1:27" x14ac:dyDescent="0.3">
      <c r="A355" s="1">
        <v>9684119</v>
      </c>
      <c r="B355" s="1" t="s">
        <v>647</v>
      </c>
      <c r="C355" s="1" t="s">
        <v>230</v>
      </c>
      <c r="D355" s="1">
        <v>8015630</v>
      </c>
      <c r="E355" s="1">
        <v>0</v>
      </c>
      <c r="F355" s="1" t="s">
        <v>25</v>
      </c>
      <c r="G355" s="1" t="s">
        <v>46</v>
      </c>
      <c r="H355" s="2">
        <v>41711</v>
      </c>
      <c r="I355" s="2" t="s">
        <v>25</v>
      </c>
      <c r="J355" s="2">
        <v>42226</v>
      </c>
      <c r="K355" s="3"/>
      <c r="L355" s="3">
        <v>750000</v>
      </c>
      <c r="M355" s="3">
        <v>750000</v>
      </c>
      <c r="N355" s="1">
        <v>1</v>
      </c>
      <c r="O355" s="1">
        <v>0</v>
      </c>
      <c r="P355" s="1">
        <v>1</v>
      </c>
      <c r="Q355" s="3"/>
      <c r="R355" s="3"/>
      <c r="S355" s="3">
        <v>750000</v>
      </c>
      <c r="T355" s="1">
        <v>1.4109590000000001</v>
      </c>
      <c r="U355" s="3"/>
      <c r="V355" s="3"/>
      <c r="X355" s="1">
        <v>750000</v>
      </c>
      <c r="Y355" s="22">
        <v>1.4109590000000001</v>
      </c>
      <c r="Z355" s="4">
        <f>Table1[[#This Row],[totalTimeKept]]*$AD$3</f>
        <v>21164.385000000002</v>
      </c>
      <c r="AA355" s="4">
        <f>Y355-Z355</f>
        <v>-21162.974041000001</v>
      </c>
    </row>
    <row r="356" spans="1:27" x14ac:dyDescent="0.3">
      <c r="A356" s="1">
        <v>9684122</v>
      </c>
      <c r="B356" s="1" t="s">
        <v>648</v>
      </c>
      <c r="C356" s="1" t="s">
        <v>40</v>
      </c>
      <c r="D356" s="1">
        <v>4297755</v>
      </c>
      <c r="E356" s="1">
        <v>0</v>
      </c>
      <c r="F356" s="1" t="s">
        <v>24</v>
      </c>
      <c r="G356" s="1" t="s">
        <v>24</v>
      </c>
      <c r="H356" s="2">
        <v>41712</v>
      </c>
      <c r="I356" s="2">
        <v>43777</v>
      </c>
      <c r="J356" s="2">
        <v>43410</v>
      </c>
      <c r="K356" s="3">
        <v>200000</v>
      </c>
      <c r="L356" s="3">
        <v>250000</v>
      </c>
      <c r="M356" s="3">
        <v>85000</v>
      </c>
      <c r="N356" s="1">
        <v>1</v>
      </c>
      <c r="O356" s="1">
        <v>1</v>
      </c>
      <c r="P356" s="1">
        <v>1</v>
      </c>
      <c r="Q356" s="3">
        <v>148481.5</v>
      </c>
      <c r="R356" s="3"/>
      <c r="S356" s="3">
        <v>-63481.48</v>
      </c>
      <c r="T356" s="1">
        <v>4.6520549999999998</v>
      </c>
      <c r="U356" s="3">
        <v>80000</v>
      </c>
      <c r="V356" s="3">
        <v>0</v>
      </c>
      <c r="W356" s="1">
        <v>0.73972599999999999</v>
      </c>
      <c r="X356" s="1">
        <v>16518.52</v>
      </c>
      <c r="Y356" s="22">
        <v>5.3917809999999999</v>
      </c>
      <c r="Z356" s="4">
        <f>Table1[[#This Row],[totalTimeKept]]*$AD$3</f>
        <v>80876.714999999997</v>
      </c>
      <c r="AA356" s="4">
        <f>Y356-Z356</f>
        <v>-80871.323218999998</v>
      </c>
    </row>
    <row r="357" spans="1:27" x14ac:dyDescent="0.3">
      <c r="A357" s="1">
        <v>9684129</v>
      </c>
      <c r="B357" s="1" t="s">
        <v>649</v>
      </c>
      <c r="C357" s="1" t="s">
        <v>286</v>
      </c>
      <c r="D357" s="1">
        <v>8420711</v>
      </c>
      <c r="E357" s="1">
        <v>0</v>
      </c>
      <c r="F357" s="1" t="s">
        <v>25</v>
      </c>
      <c r="G357" s="1" t="s">
        <v>46</v>
      </c>
      <c r="H357" s="2">
        <v>41716</v>
      </c>
      <c r="I357" s="1" t="s">
        <v>25</v>
      </c>
      <c r="J357" s="2">
        <v>42044</v>
      </c>
      <c r="K357" s="3"/>
      <c r="L357" s="3">
        <v>25000</v>
      </c>
      <c r="M357" s="3">
        <v>25000</v>
      </c>
      <c r="N357" s="1">
        <v>1</v>
      </c>
      <c r="O357" s="1">
        <v>0</v>
      </c>
      <c r="P357" s="1">
        <v>1</v>
      </c>
      <c r="Q357" s="3"/>
      <c r="R357" s="3"/>
      <c r="S357" s="3">
        <v>25000</v>
      </c>
      <c r="T357" s="1">
        <v>0.89863009999999999</v>
      </c>
      <c r="U357" s="3"/>
      <c r="V357" s="3"/>
      <c r="X357" s="1">
        <v>25000</v>
      </c>
      <c r="Y357" s="22">
        <v>0.89863009999999999</v>
      </c>
      <c r="Z357" s="4">
        <f>Table1[[#This Row],[totalTimeKept]]*$AD$3</f>
        <v>13479.451499999999</v>
      </c>
      <c r="AA357" s="4">
        <f>Y357-Z357</f>
        <v>-13478.552869899999</v>
      </c>
    </row>
    <row r="358" spans="1:27" x14ac:dyDescent="0.3">
      <c r="A358" s="1">
        <v>9686269</v>
      </c>
      <c r="B358" s="1" t="s">
        <v>650</v>
      </c>
      <c r="C358" s="1" t="s">
        <v>651</v>
      </c>
      <c r="D358" s="1">
        <v>6953769</v>
      </c>
      <c r="E358" s="1">
        <v>0</v>
      </c>
      <c r="F358" s="1" t="s">
        <v>24</v>
      </c>
      <c r="G358" s="1" t="s">
        <v>24</v>
      </c>
      <c r="H358" s="2">
        <v>41727</v>
      </c>
      <c r="I358" s="2">
        <v>43415</v>
      </c>
      <c r="J358" s="2">
        <v>43959</v>
      </c>
      <c r="K358" s="3">
        <v>65000</v>
      </c>
      <c r="L358" s="3">
        <v>178639</v>
      </c>
      <c r="M358" s="3">
        <v>113639</v>
      </c>
      <c r="N358" s="1">
        <v>0</v>
      </c>
      <c r="O358" s="1">
        <v>1</v>
      </c>
      <c r="P358" s="1">
        <v>1</v>
      </c>
      <c r="Q358" s="3">
        <v>65777.77</v>
      </c>
      <c r="R358" s="3"/>
      <c r="S358" s="3">
        <v>47861.23</v>
      </c>
      <c r="T358" s="1">
        <v>1.4904109999999999</v>
      </c>
      <c r="U358" s="3"/>
      <c r="V358" s="3"/>
      <c r="X358" s="1">
        <v>47861.23</v>
      </c>
      <c r="Y358" s="22">
        <v>1.4904109999999999</v>
      </c>
      <c r="Z358" s="4">
        <f>Table1[[#This Row],[totalTimeKept]]*$AD$3</f>
        <v>22356.164999999997</v>
      </c>
      <c r="AA358" s="4">
        <f>Y358-Z358</f>
        <v>-22354.674588999998</v>
      </c>
    </row>
    <row r="359" spans="1:27" x14ac:dyDescent="0.3">
      <c r="A359" s="1">
        <v>9686293</v>
      </c>
      <c r="B359" s="1" t="s">
        <v>652</v>
      </c>
      <c r="C359" s="1" t="s">
        <v>564</v>
      </c>
      <c r="D359" s="1">
        <v>4630264</v>
      </c>
      <c r="E359" s="1">
        <v>0</v>
      </c>
      <c r="F359" s="1" t="s">
        <v>25</v>
      </c>
      <c r="G359" s="1" t="s">
        <v>46</v>
      </c>
      <c r="H359" s="2">
        <v>41731</v>
      </c>
      <c r="I359" s="2" t="s">
        <v>25</v>
      </c>
      <c r="J359" s="2">
        <v>42264</v>
      </c>
      <c r="K359" s="3"/>
      <c r="L359" s="3">
        <v>140000</v>
      </c>
      <c r="M359" s="3">
        <v>140000</v>
      </c>
      <c r="N359" s="1">
        <v>1</v>
      </c>
      <c r="O359" s="1">
        <v>0</v>
      </c>
      <c r="P359" s="1">
        <v>1</v>
      </c>
      <c r="Q359" s="3"/>
      <c r="R359" s="3"/>
      <c r="S359" s="3">
        <v>140000</v>
      </c>
      <c r="T359" s="1">
        <v>1.4602740000000001</v>
      </c>
      <c r="U359" s="3"/>
      <c r="V359" s="3"/>
      <c r="X359" s="1">
        <v>140000</v>
      </c>
      <c r="Y359" s="22">
        <v>1.4602740000000001</v>
      </c>
      <c r="Z359" s="4">
        <f>Table1[[#This Row],[totalTimeKept]]*$AD$3</f>
        <v>21904.11</v>
      </c>
      <c r="AA359" s="4">
        <f>Y359-Z359</f>
        <v>-21902.649726</v>
      </c>
    </row>
    <row r="360" spans="1:27" x14ac:dyDescent="0.3">
      <c r="A360" s="1">
        <v>9689131</v>
      </c>
      <c r="B360" s="1" t="s">
        <v>653</v>
      </c>
      <c r="C360" s="1" t="s">
        <v>654</v>
      </c>
      <c r="D360" s="1">
        <v>6466144</v>
      </c>
      <c r="E360" s="1">
        <v>0</v>
      </c>
      <c r="F360" s="1" t="s">
        <v>24</v>
      </c>
      <c r="G360" s="1" t="s">
        <v>24</v>
      </c>
      <c r="H360" s="2">
        <v>41743</v>
      </c>
      <c r="I360" s="2">
        <v>44511</v>
      </c>
      <c r="J360" s="2">
        <v>45071</v>
      </c>
      <c r="K360" s="3">
        <v>175000</v>
      </c>
      <c r="L360" s="3">
        <v>310653</v>
      </c>
      <c r="M360" s="3">
        <v>135653</v>
      </c>
      <c r="N360" s="1">
        <v>0</v>
      </c>
      <c r="O360" s="1">
        <v>1</v>
      </c>
      <c r="P360" s="1">
        <v>1</v>
      </c>
      <c r="Q360" s="3">
        <v>0</v>
      </c>
      <c r="R360" s="3"/>
      <c r="S360" s="3">
        <v>135653</v>
      </c>
      <c r="T360" s="1">
        <v>1.5342469999999999</v>
      </c>
      <c r="U360" s="3"/>
      <c r="V360" s="3"/>
      <c r="X360" s="1">
        <v>135653</v>
      </c>
      <c r="Y360" s="22">
        <v>1.5342469999999999</v>
      </c>
      <c r="Z360" s="4">
        <f>Table1[[#This Row],[totalTimeKept]]*$AD$3</f>
        <v>23013.704999999998</v>
      </c>
      <c r="AA360" s="4">
        <f>Y360-Z360</f>
        <v>-23012.170752999999</v>
      </c>
    </row>
    <row r="361" spans="1:27" x14ac:dyDescent="0.3">
      <c r="A361" s="1">
        <v>9690733</v>
      </c>
      <c r="B361" s="1" t="s">
        <v>655</v>
      </c>
      <c r="C361" s="1" t="s">
        <v>656</v>
      </c>
      <c r="D361" s="1">
        <v>6799955</v>
      </c>
      <c r="E361" s="1">
        <v>0</v>
      </c>
      <c r="F361" s="1" t="s">
        <v>25</v>
      </c>
      <c r="G361" s="1" t="s">
        <v>46</v>
      </c>
      <c r="H361" s="2">
        <v>41727</v>
      </c>
      <c r="I361" s="1" t="s">
        <v>25</v>
      </c>
      <c r="J361" s="2">
        <v>42266</v>
      </c>
      <c r="K361" s="3"/>
      <c r="L361" s="3">
        <v>3000</v>
      </c>
      <c r="M361" s="3">
        <v>3000</v>
      </c>
      <c r="N361" s="1">
        <v>1</v>
      </c>
      <c r="O361" s="1">
        <v>0</v>
      </c>
      <c r="P361" s="1">
        <v>1</v>
      </c>
      <c r="Q361" s="3"/>
      <c r="R361" s="3"/>
      <c r="S361" s="3">
        <v>3000</v>
      </c>
      <c r="T361" s="1">
        <v>1.476712</v>
      </c>
      <c r="U361" s="3"/>
      <c r="V361" s="3"/>
      <c r="X361" s="1">
        <v>3000</v>
      </c>
      <c r="Y361" s="22">
        <v>1.476712</v>
      </c>
      <c r="Z361" s="4">
        <f>Table1[[#This Row],[totalTimeKept]]*$AD$3</f>
        <v>22150.68</v>
      </c>
      <c r="AA361" s="4">
        <f>Y361-Z361</f>
        <v>-22149.203288000001</v>
      </c>
    </row>
    <row r="362" spans="1:27" x14ac:dyDescent="0.3">
      <c r="A362" s="1">
        <v>9690737</v>
      </c>
      <c r="B362" s="1" t="s">
        <v>657</v>
      </c>
      <c r="C362" s="1" t="s">
        <v>479</v>
      </c>
      <c r="D362" s="1">
        <v>7728446</v>
      </c>
      <c r="E362" s="1">
        <v>0</v>
      </c>
      <c r="F362" s="1" t="s">
        <v>25</v>
      </c>
      <c r="G362" s="1" t="s">
        <v>349</v>
      </c>
      <c r="H362" s="2">
        <v>41731</v>
      </c>
      <c r="I362" s="1" t="s">
        <v>25</v>
      </c>
      <c r="J362" s="2">
        <v>41949</v>
      </c>
      <c r="K362" s="3"/>
      <c r="L362" s="3">
        <v>135000</v>
      </c>
      <c r="M362" s="3">
        <v>135000</v>
      </c>
      <c r="N362" s="1">
        <v>1</v>
      </c>
      <c r="O362" s="1">
        <v>0</v>
      </c>
      <c r="P362" s="1">
        <v>1</v>
      </c>
      <c r="Q362" s="3"/>
      <c r="R362" s="3"/>
      <c r="S362" s="3">
        <v>135000</v>
      </c>
      <c r="T362" s="1">
        <v>0.59726029999999997</v>
      </c>
      <c r="U362" s="3"/>
      <c r="V362" s="3"/>
      <c r="X362" s="1">
        <v>135000</v>
      </c>
      <c r="Y362" s="22">
        <v>0.59726029999999997</v>
      </c>
      <c r="Z362" s="4">
        <f>Table1[[#This Row],[totalTimeKept]]*$AD$3</f>
        <v>8958.9044999999987</v>
      </c>
      <c r="AA362" s="4">
        <f>Y362-Z362</f>
        <v>-8958.3072396999996</v>
      </c>
    </row>
    <row r="363" spans="1:27" x14ac:dyDescent="0.3">
      <c r="A363" s="1">
        <v>9691912</v>
      </c>
      <c r="B363" s="1" t="s">
        <v>658</v>
      </c>
      <c r="C363" s="1" t="s">
        <v>553</v>
      </c>
      <c r="D363" s="1">
        <v>8244490</v>
      </c>
      <c r="E363" s="1">
        <v>0</v>
      </c>
      <c r="F363" s="1" t="s">
        <v>25</v>
      </c>
      <c r="G363" s="1" t="s">
        <v>46</v>
      </c>
      <c r="H363" s="2">
        <v>41730</v>
      </c>
      <c r="I363" s="1" t="s">
        <v>25</v>
      </c>
      <c r="J363" s="2">
        <v>42263</v>
      </c>
      <c r="K363" s="3"/>
      <c r="L363" s="3">
        <v>150000</v>
      </c>
      <c r="M363" s="3">
        <v>150000</v>
      </c>
      <c r="N363" s="1">
        <v>1</v>
      </c>
      <c r="O363" s="1">
        <v>0</v>
      </c>
      <c r="P363" s="1">
        <v>1</v>
      </c>
      <c r="Q363" s="3"/>
      <c r="R363" s="3"/>
      <c r="S363" s="3">
        <v>150000</v>
      </c>
      <c r="T363" s="1">
        <v>1.4602740000000001</v>
      </c>
      <c r="U363" s="3"/>
      <c r="V363" s="3"/>
      <c r="X363" s="1">
        <v>150000</v>
      </c>
      <c r="Y363" s="22">
        <v>1.4602740000000001</v>
      </c>
      <c r="Z363" s="4">
        <f>Table1[[#This Row],[totalTimeKept]]*$AD$3</f>
        <v>21904.11</v>
      </c>
      <c r="AA363" s="4">
        <f>Y363-Z363</f>
        <v>-21902.649726</v>
      </c>
    </row>
    <row r="364" spans="1:27" x14ac:dyDescent="0.3">
      <c r="A364" s="1">
        <v>9691922</v>
      </c>
      <c r="B364" s="1" t="s">
        <v>659</v>
      </c>
      <c r="C364" s="1" t="s">
        <v>502</v>
      </c>
      <c r="D364" s="1">
        <v>4026221</v>
      </c>
      <c r="E364" s="1">
        <v>2850</v>
      </c>
      <c r="F364" s="1" t="s">
        <v>46</v>
      </c>
      <c r="G364" s="1" t="s">
        <v>349</v>
      </c>
      <c r="H364" s="2">
        <v>41744</v>
      </c>
      <c r="I364" s="2">
        <v>42296</v>
      </c>
      <c r="J364" s="2">
        <v>41946</v>
      </c>
      <c r="K364" s="3">
        <v>215000</v>
      </c>
      <c r="L364" s="3">
        <v>160000</v>
      </c>
      <c r="M364" s="3">
        <v>100000</v>
      </c>
      <c r="N364" s="1">
        <v>1</v>
      </c>
      <c r="O364" s="1">
        <v>1</v>
      </c>
      <c r="P364" s="1">
        <v>1</v>
      </c>
      <c r="Q364" s="3">
        <v>30000</v>
      </c>
      <c r="R364" s="3"/>
      <c r="S364" s="3">
        <v>72850</v>
      </c>
      <c r="T364" s="1">
        <v>0.55342469999999999</v>
      </c>
      <c r="U364" s="3">
        <v>22000</v>
      </c>
      <c r="V364" s="3">
        <v>0</v>
      </c>
      <c r="W364" s="1">
        <v>1.616438</v>
      </c>
      <c r="X364" s="1">
        <v>94850</v>
      </c>
      <c r="Y364" s="22">
        <v>2.1698629999999999</v>
      </c>
      <c r="Z364" s="4">
        <f>Table1[[#This Row],[totalTimeKept]]*$AD$3</f>
        <v>32547.945</v>
      </c>
      <c r="AA364" s="4">
        <f>Y364-Z364</f>
        <v>-32545.775137000001</v>
      </c>
    </row>
    <row r="365" spans="1:27" x14ac:dyDescent="0.3">
      <c r="A365" s="1">
        <v>9694444</v>
      </c>
      <c r="B365" s="1" t="s">
        <v>660</v>
      </c>
      <c r="C365" s="1" t="s">
        <v>195</v>
      </c>
      <c r="D365" s="1">
        <v>7728149</v>
      </c>
      <c r="E365" s="1">
        <v>0</v>
      </c>
      <c r="F365" s="1" t="s">
        <v>25</v>
      </c>
      <c r="G365" s="1" t="s">
        <v>46</v>
      </c>
      <c r="H365" s="2">
        <v>41749</v>
      </c>
      <c r="I365" s="1" t="s">
        <v>25</v>
      </c>
      <c r="J365" s="2">
        <v>42194</v>
      </c>
      <c r="K365" s="3"/>
      <c r="L365" s="3">
        <v>112000</v>
      </c>
      <c r="M365" s="3">
        <v>112000</v>
      </c>
      <c r="N365" s="1">
        <v>1</v>
      </c>
      <c r="O365" s="1">
        <v>0</v>
      </c>
      <c r="P365" s="1">
        <v>1</v>
      </c>
      <c r="Q365" s="3"/>
      <c r="R365" s="3"/>
      <c r="S365" s="3">
        <v>112000</v>
      </c>
      <c r="T365" s="1">
        <v>1.2191780000000001</v>
      </c>
      <c r="U365" s="3"/>
      <c r="V365" s="3"/>
      <c r="X365" s="1">
        <v>112000</v>
      </c>
      <c r="Y365" s="22">
        <v>1.2191780000000001</v>
      </c>
      <c r="Z365" s="4">
        <f>Table1[[#This Row],[totalTimeKept]]*$AD$3</f>
        <v>18287.670000000002</v>
      </c>
      <c r="AA365" s="4">
        <f>Y365-Z365</f>
        <v>-18286.450822000003</v>
      </c>
    </row>
    <row r="366" spans="1:27" x14ac:dyDescent="0.3">
      <c r="A366" s="1">
        <v>9698673</v>
      </c>
      <c r="B366" s="1" t="s">
        <v>661</v>
      </c>
      <c r="C366" s="1" t="s">
        <v>662</v>
      </c>
      <c r="D366" s="1">
        <v>7147123</v>
      </c>
      <c r="E366" s="1">
        <v>0</v>
      </c>
      <c r="F366" s="1" t="s">
        <v>139</v>
      </c>
      <c r="G366" s="1" t="s">
        <v>25</v>
      </c>
      <c r="H366" s="2">
        <v>41759</v>
      </c>
      <c r="I366" s="2">
        <v>43111</v>
      </c>
      <c r="J366" s="2" t="s">
        <v>25</v>
      </c>
      <c r="K366" s="3">
        <v>26000</v>
      </c>
      <c r="L366" s="3"/>
      <c r="M366" s="3">
        <v>-26000</v>
      </c>
      <c r="N366" s="1">
        <v>0</v>
      </c>
      <c r="O366" s="1">
        <v>1</v>
      </c>
      <c r="P366" s="1">
        <v>0</v>
      </c>
      <c r="Q366" s="3">
        <v>53518.52</v>
      </c>
      <c r="R366" s="3"/>
      <c r="S366" s="3">
        <v>-79518.52</v>
      </c>
      <c r="T366" s="1">
        <v>7.1068490000000004</v>
      </c>
      <c r="U366" s="3">
        <v>66045</v>
      </c>
      <c r="V366" s="3">
        <v>0</v>
      </c>
      <c r="W366" s="1">
        <v>5.5863009999999997</v>
      </c>
      <c r="X366" s="1">
        <v>-13473.52</v>
      </c>
      <c r="Y366" s="22">
        <v>12.693149999999999</v>
      </c>
      <c r="Z366" s="4">
        <f>Table1[[#This Row],[totalTimeKept]]*$AD$3</f>
        <v>190397.25</v>
      </c>
      <c r="AA366" s="4">
        <f>Y366-Z366</f>
        <v>-190384.55684999999</v>
      </c>
    </row>
    <row r="367" spans="1:27" x14ac:dyDescent="0.3">
      <c r="A367" s="1">
        <v>9707134</v>
      </c>
      <c r="B367" s="1" t="s">
        <v>663</v>
      </c>
      <c r="C367" s="1" t="s">
        <v>157</v>
      </c>
      <c r="D367" s="1">
        <v>7415009</v>
      </c>
      <c r="E367" s="1">
        <v>0</v>
      </c>
      <c r="F367" s="1" t="s">
        <v>25</v>
      </c>
      <c r="G367" s="1" t="s">
        <v>46</v>
      </c>
      <c r="H367" s="2">
        <v>41743</v>
      </c>
      <c r="I367" s="1" t="s">
        <v>25</v>
      </c>
      <c r="J367" s="2">
        <v>42297</v>
      </c>
      <c r="K367" s="3"/>
      <c r="L367" s="3">
        <v>11000</v>
      </c>
      <c r="M367" s="3">
        <v>11000</v>
      </c>
      <c r="N367" s="1">
        <v>1</v>
      </c>
      <c r="O367" s="1">
        <v>0</v>
      </c>
      <c r="P367" s="1">
        <v>1</v>
      </c>
      <c r="Q367" s="3"/>
      <c r="R367" s="3"/>
      <c r="S367" s="3">
        <v>11000</v>
      </c>
      <c r="T367" s="1">
        <v>1.517808</v>
      </c>
      <c r="U367" s="3"/>
      <c r="V367" s="3"/>
      <c r="X367" s="1">
        <v>11000</v>
      </c>
      <c r="Y367" s="22">
        <v>1.517808</v>
      </c>
      <c r="Z367" s="4">
        <f>Table1[[#This Row],[totalTimeKept]]*$AD$3</f>
        <v>22767.119999999999</v>
      </c>
      <c r="AA367" s="4">
        <f>Y367-Z367</f>
        <v>-22765.602191999998</v>
      </c>
    </row>
    <row r="368" spans="1:27" x14ac:dyDescent="0.3">
      <c r="A368" s="1">
        <v>9707143</v>
      </c>
      <c r="B368" s="1" t="s">
        <v>664</v>
      </c>
      <c r="C368" s="1" t="s">
        <v>185</v>
      </c>
      <c r="D368" s="1">
        <v>7690741</v>
      </c>
      <c r="E368" s="1">
        <v>0</v>
      </c>
      <c r="F368" s="1" t="s">
        <v>25</v>
      </c>
      <c r="G368" s="1" t="s">
        <v>46</v>
      </c>
      <c r="H368" s="2">
        <v>41759</v>
      </c>
      <c r="I368" s="1" t="s">
        <v>25</v>
      </c>
      <c r="J368" s="2">
        <v>42264</v>
      </c>
      <c r="K368" s="3"/>
      <c r="L368" s="3">
        <v>300000</v>
      </c>
      <c r="M368" s="3">
        <v>300000</v>
      </c>
      <c r="N368" s="1">
        <v>1</v>
      </c>
      <c r="O368" s="1">
        <v>0</v>
      </c>
      <c r="P368" s="1">
        <v>1</v>
      </c>
      <c r="Q368" s="3"/>
      <c r="R368" s="3"/>
      <c r="S368" s="3">
        <v>300000</v>
      </c>
      <c r="T368" s="1">
        <v>1.383562</v>
      </c>
      <c r="U368" s="3"/>
      <c r="V368" s="3"/>
      <c r="X368" s="1">
        <v>300000</v>
      </c>
      <c r="Y368" s="22">
        <v>1.383562</v>
      </c>
      <c r="Z368" s="4">
        <f>Table1[[#This Row],[totalTimeKept]]*$AD$3</f>
        <v>20753.43</v>
      </c>
      <c r="AA368" s="4">
        <f>Y368-Z368</f>
        <v>-20752.046438000001</v>
      </c>
    </row>
    <row r="369" spans="1:27" x14ac:dyDescent="0.3">
      <c r="A369" s="1">
        <v>9707149</v>
      </c>
      <c r="B369" s="1" t="s">
        <v>665</v>
      </c>
      <c r="C369" s="1" t="s">
        <v>666</v>
      </c>
      <c r="D369" s="1">
        <v>4665801</v>
      </c>
      <c r="E369" s="1">
        <v>27300</v>
      </c>
      <c r="F369" s="1" t="s">
        <v>25</v>
      </c>
      <c r="G369" s="1" t="s">
        <v>24</v>
      </c>
      <c r="H369" s="2">
        <v>41762</v>
      </c>
      <c r="I369" s="1" t="s">
        <v>25</v>
      </c>
      <c r="J369" s="2">
        <v>43775</v>
      </c>
      <c r="K369" s="3"/>
      <c r="L369" s="3">
        <v>750000</v>
      </c>
      <c r="M369" s="3">
        <v>750000</v>
      </c>
      <c r="N369" s="1">
        <v>1</v>
      </c>
      <c r="O369" s="1">
        <v>0</v>
      </c>
      <c r="P369" s="1">
        <v>1</v>
      </c>
      <c r="Q369" s="3">
        <v>35000</v>
      </c>
      <c r="R369" s="3"/>
      <c r="S369" s="3">
        <v>742300</v>
      </c>
      <c r="T369" s="1">
        <v>5.5150690000000004</v>
      </c>
      <c r="U369" s="3">
        <v>210000</v>
      </c>
      <c r="V369" s="3">
        <v>0</v>
      </c>
      <c r="W369" s="1">
        <v>1.6246579999999999</v>
      </c>
      <c r="X369" s="1">
        <v>952300</v>
      </c>
      <c r="Y369" s="22">
        <v>7.1397259999999996</v>
      </c>
      <c r="Z369" s="4">
        <f>Table1[[#This Row],[totalTimeKept]]*$AD$3</f>
        <v>107095.89</v>
      </c>
      <c r="AA369" s="4">
        <f>Y369-Z369</f>
        <v>-107088.75027400001</v>
      </c>
    </row>
    <row r="370" spans="1:27" x14ac:dyDescent="0.3">
      <c r="A370" s="1">
        <v>9707152</v>
      </c>
      <c r="B370" s="1" t="s">
        <v>667</v>
      </c>
      <c r="C370" s="1" t="s">
        <v>67</v>
      </c>
      <c r="D370" s="1">
        <v>5192419</v>
      </c>
      <c r="E370" s="1">
        <v>0</v>
      </c>
      <c r="F370" s="1" t="s">
        <v>25</v>
      </c>
      <c r="G370" s="1" t="s">
        <v>46</v>
      </c>
      <c r="H370" s="2">
        <v>41765</v>
      </c>
      <c r="I370" s="1" t="s">
        <v>25</v>
      </c>
      <c r="J370" s="2">
        <v>42299</v>
      </c>
      <c r="K370" s="3"/>
      <c r="L370" s="3">
        <v>15000</v>
      </c>
      <c r="M370" s="3">
        <v>15000</v>
      </c>
      <c r="N370" s="1">
        <v>1</v>
      </c>
      <c r="O370" s="1">
        <v>0</v>
      </c>
      <c r="P370" s="1">
        <v>1</v>
      </c>
      <c r="Q370" s="3"/>
      <c r="R370" s="3"/>
      <c r="S370" s="3">
        <v>15000</v>
      </c>
      <c r="T370" s="1">
        <v>1.463014</v>
      </c>
      <c r="U370" s="3"/>
      <c r="V370" s="3"/>
      <c r="X370" s="1">
        <v>15000</v>
      </c>
      <c r="Y370" s="22">
        <v>1.463014</v>
      </c>
      <c r="Z370" s="4">
        <f>Table1[[#This Row],[totalTimeKept]]*$AD$3</f>
        <v>21945.21</v>
      </c>
      <c r="AA370" s="4">
        <f>Y370-Z370</f>
        <v>-21943.746985999998</v>
      </c>
    </row>
    <row r="371" spans="1:27" x14ac:dyDescent="0.3">
      <c r="A371" s="1">
        <v>9707154</v>
      </c>
      <c r="B371" s="1" t="s">
        <v>668</v>
      </c>
      <c r="C371" s="1" t="s">
        <v>669</v>
      </c>
      <c r="D371" s="1">
        <v>8594211</v>
      </c>
      <c r="E371" s="1">
        <v>0</v>
      </c>
      <c r="F371" s="1" t="s">
        <v>25</v>
      </c>
      <c r="G371" s="1" t="s">
        <v>46</v>
      </c>
      <c r="H371" s="2">
        <v>41769</v>
      </c>
      <c r="I371" s="1" t="s">
        <v>25</v>
      </c>
      <c r="J371" s="2">
        <v>42299</v>
      </c>
      <c r="K371" s="3"/>
      <c r="L371" s="3">
        <v>27000</v>
      </c>
      <c r="M371" s="3">
        <v>27000</v>
      </c>
      <c r="N371" s="1">
        <v>1</v>
      </c>
      <c r="O371" s="1">
        <v>0</v>
      </c>
      <c r="P371" s="1">
        <v>1</v>
      </c>
      <c r="Q371" s="3"/>
      <c r="R371" s="3"/>
      <c r="S371" s="3">
        <v>27000</v>
      </c>
      <c r="T371" s="1">
        <v>1.4520550000000001</v>
      </c>
      <c r="U371" s="3"/>
      <c r="V371" s="3"/>
      <c r="X371" s="1">
        <v>27000</v>
      </c>
      <c r="Y371" s="22">
        <v>1.4520550000000001</v>
      </c>
      <c r="Z371" s="4">
        <f>Table1[[#This Row],[totalTimeKept]]*$AD$3</f>
        <v>21780.825000000001</v>
      </c>
      <c r="AA371" s="4">
        <f>Y371-Z371</f>
        <v>-21779.372944999999</v>
      </c>
    </row>
    <row r="372" spans="1:27" x14ac:dyDescent="0.3">
      <c r="A372" s="1">
        <v>9707167</v>
      </c>
      <c r="B372" s="1" t="s">
        <v>670</v>
      </c>
      <c r="C372" s="1" t="s">
        <v>330</v>
      </c>
      <c r="D372" s="1">
        <v>4031549</v>
      </c>
      <c r="E372" s="1">
        <v>0</v>
      </c>
      <c r="F372" s="1" t="s">
        <v>25</v>
      </c>
      <c r="G372" s="1" t="s">
        <v>24</v>
      </c>
      <c r="H372" s="2">
        <v>41772</v>
      </c>
      <c r="I372" s="1" t="s">
        <v>25</v>
      </c>
      <c r="J372" s="2">
        <v>43806</v>
      </c>
      <c r="K372" s="3"/>
      <c r="L372" s="3">
        <v>331839</v>
      </c>
      <c r="M372" s="3">
        <v>331839</v>
      </c>
      <c r="N372" s="1">
        <v>1</v>
      </c>
      <c r="O372" s="1">
        <v>0</v>
      </c>
      <c r="P372" s="1">
        <v>1</v>
      </c>
      <c r="Q372" s="3">
        <v>29296.29</v>
      </c>
      <c r="R372" s="3"/>
      <c r="S372" s="3">
        <v>302542.7</v>
      </c>
      <c r="T372" s="1">
        <v>5.572603</v>
      </c>
      <c r="U372" s="3"/>
      <c r="V372" s="3"/>
      <c r="X372" s="1">
        <v>302542.7</v>
      </c>
      <c r="Y372" s="22">
        <v>5.572603</v>
      </c>
      <c r="Z372" s="4">
        <f>Table1[[#This Row],[totalTimeKept]]*$AD$3</f>
        <v>83589.044999999998</v>
      </c>
      <c r="AA372" s="4">
        <f>Y372-Z372</f>
        <v>-83583.472397000005</v>
      </c>
    </row>
    <row r="373" spans="1:27" x14ac:dyDescent="0.3">
      <c r="A373" s="1">
        <v>9707731</v>
      </c>
      <c r="B373" s="1" t="s">
        <v>671</v>
      </c>
      <c r="C373" s="1" t="s">
        <v>36</v>
      </c>
      <c r="D373" s="1">
        <v>4038272</v>
      </c>
      <c r="E373" s="1">
        <v>0</v>
      </c>
      <c r="F373" s="1" t="s">
        <v>25</v>
      </c>
      <c r="G373" s="1" t="s">
        <v>46</v>
      </c>
      <c r="H373" s="2">
        <v>41778</v>
      </c>
      <c r="I373" s="2" t="s">
        <v>25</v>
      </c>
      <c r="J373" s="2">
        <v>42297</v>
      </c>
      <c r="K373" s="3"/>
      <c r="L373" s="3">
        <v>15000</v>
      </c>
      <c r="M373" s="3">
        <v>15000</v>
      </c>
      <c r="N373" s="1">
        <v>1</v>
      </c>
      <c r="O373" s="1">
        <v>0</v>
      </c>
      <c r="P373" s="1">
        <v>1</v>
      </c>
      <c r="Q373" s="3"/>
      <c r="R373" s="3"/>
      <c r="S373" s="3">
        <v>15000</v>
      </c>
      <c r="T373" s="1">
        <v>1.421918</v>
      </c>
      <c r="U373" s="3"/>
      <c r="V373" s="3"/>
      <c r="X373" s="1">
        <v>15000</v>
      </c>
      <c r="Y373" s="22">
        <v>1.421918</v>
      </c>
      <c r="Z373" s="4">
        <f>Table1[[#This Row],[totalTimeKept]]*$AD$3</f>
        <v>21328.77</v>
      </c>
      <c r="AA373" s="4">
        <f>Y373-Z373</f>
        <v>-21327.348082</v>
      </c>
    </row>
    <row r="374" spans="1:27" x14ac:dyDescent="0.3">
      <c r="A374" s="1">
        <v>9709703</v>
      </c>
      <c r="B374" s="1" t="s">
        <v>672</v>
      </c>
      <c r="C374" s="1" t="s">
        <v>673</v>
      </c>
      <c r="D374" s="1">
        <v>8575239</v>
      </c>
      <c r="E374" s="1">
        <v>0</v>
      </c>
      <c r="F374" s="1" t="s">
        <v>25</v>
      </c>
      <c r="G374" s="1" t="s">
        <v>349</v>
      </c>
      <c r="H374" s="2">
        <v>41742</v>
      </c>
      <c r="I374" s="2" t="s">
        <v>25</v>
      </c>
      <c r="J374" s="2">
        <v>41948</v>
      </c>
      <c r="K374" s="3"/>
      <c r="L374" s="3">
        <v>75000</v>
      </c>
      <c r="M374" s="3">
        <v>75000</v>
      </c>
      <c r="N374" s="1">
        <v>1</v>
      </c>
      <c r="O374" s="1">
        <v>0</v>
      </c>
      <c r="P374" s="1">
        <v>1</v>
      </c>
      <c r="Q374" s="3"/>
      <c r="R374" s="3"/>
      <c r="S374" s="3">
        <v>75000</v>
      </c>
      <c r="T374" s="1">
        <v>0.56438359999999999</v>
      </c>
      <c r="U374" s="3"/>
      <c r="V374" s="3"/>
      <c r="X374" s="1">
        <v>75000</v>
      </c>
      <c r="Y374" s="22">
        <v>0.56438359999999999</v>
      </c>
      <c r="Z374" s="4">
        <f>Table1[[#This Row],[totalTimeKept]]*$AD$3</f>
        <v>8465.753999999999</v>
      </c>
      <c r="AA374" s="4">
        <f>Y374-Z374</f>
        <v>-8465.1896163999991</v>
      </c>
    </row>
    <row r="375" spans="1:27" x14ac:dyDescent="0.3">
      <c r="A375" s="1">
        <v>9709705</v>
      </c>
      <c r="B375" s="1" t="s">
        <v>674</v>
      </c>
      <c r="C375" s="1" t="s">
        <v>596</v>
      </c>
      <c r="D375" s="1">
        <v>7108794</v>
      </c>
      <c r="E375" s="1">
        <v>0</v>
      </c>
      <c r="F375" s="1" t="s">
        <v>25</v>
      </c>
      <c r="G375" s="1" t="s">
        <v>349</v>
      </c>
      <c r="H375" s="2">
        <v>41742</v>
      </c>
      <c r="I375" s="2" t="s">
        <v>25</v>
      </c>
      <c r="J375" s="2">
        <v>41951</v>
      </c>
      <c r="K375" s="3"/>
      <c r="L375" s="3">
        <v>110000</v>
      </c>
      <c r="M375" s="3">
        <v>110000</v>
      </c>
      <c r="N375" s="1">
        <v>1</v>
      </c>
      <c r="O375" s="1">
        <v>0</v>
      </c>
      <c r="P375" s="1">
        <v>1</v>
      </c>
      <c r="Q375" s="3"/>
      <c r="R375" s="3"/>
      <c r="S375" s="3">
        <v>110000</v>
      </c>
      <c r="T375" s="1">
        <v>0.57260270000000002</v>
      </c>
      <c r="U375" s="3"/>
      <c r="V375" s="3"/>
      <c r="X375" s="1">
        <v>110000</v>
      </c>
      <c r="Y375" s="22">
        <v>0.57260270000000002</v>
      </c>
      <c r="Z375" s="4">
        <f>Table1[[#This Row],[totalTimeKept]]*$AD$3</f>
        <v>8589.040500000001</v>
      </c>
      <c r="AA375" s="4">
        <f>Y375-Z375</f>
        <v>-8588.4678973000009</v>
      </c>
    </row>
    <row r="376" spans="1:27" x14ac:dyDescent="0.3">
      <c r="A376" s="1">
        <v>9709729</v>
      </c>
      <c r="B376" s="1" t="s">
        <v>675</v>
      </c>
      <c r="C376" s="1" t="s">
        <v>356</v>
      </c>
      <c r="D376" s="1">
        <v>8848899</v>
      </c>
      <c r="E376" s="1">
        <v>0</v>
      </c>
      <c r="F376" s="1" t="s">
        <v>25</v>
      </c>
      <c r="G376" s="1" t="s">
        <v>292</v>
      </c>
      <c r="H376" s="2">
        <v>41756</v>
      </c>
      <c r="I376" s="1" t="s">
        <v>25</v>
      </c>
      <c r="J376" s="2">
        <v>42481</v>
      </c>
      <c r="K376" s="3"/>
      <c r="L376" s="3">
        <v>95000</v>
      </c>
      <c r="M376" s="3">
        <v>95000</v>
      </c>
      <c r="N376" s="1">
        <v>1</v>
      </c>
      <c r="O376" s="1">
        <v>0</v>
      </c>
      <c r="P376" s="1">
        <v>1</v>
      </c>
      <c r="Q376" s="3"/>
      <c r="R376" s="3"/>
      <c r="S376" s="3">
        <v>95000</v>
      </c>
      <c r="T376" s="1">
        <v>1.9863010000000001</v>
      </c>
      <c r="U376" s="3"/>
      <c r="V376" s="3"/>
      <c r="X376" s="1">
        <v>95000</v>
      </c>
      <c r="Y376" s="22">
        <v>1.9863010000000001</v>
      </c>
      <c r="Z376" s="4">
        <f>Table1[[#This Row],[totalTimeKept]]*$AD$3</f>
        <v>29794.515000000003</v>
      </c>
      <c r="AA376" s="4">
        <f>Y376-Z376</f>
        <v>-29792.528699000002</v>
      </c>
    </row>
    <row r="377" spans="1:27" x14ac:dyDescent="0.3">
      <c r="A377" s="1">
        <v>9709732</v>
      </c>
      <c r="B377" s="1" t="s">
        <v>676</v>
      </c>
      <c r="C377" s="1" t="s">
        <v>677</v>
      </c>
      <c r="D377" s="1">
        <v>7368351</v>
      </c>
      <c r="E377" s="1">
        <v>0</v>
      </c>
      <c r="F377" s="1" t="s">
        <v>25</v>
      </c>
      <c r="G377" s="1" t="s">
        <v>46</v>
      </c>
      <c r="H377" s="2">
        <v>41756</v>
      </c>
      <c r="I377" s="1" t="s">
        <v>25</v>
      </c>
      <c r="J377" s="2">
        <v>42283</v>
      </c>
      <c r="K377" s="3"/>
      <c r="L377" s="3">
        <v>130407</v>
      </c>
      <c r="M377" s="3">
        <v>130407</v>
      </c>
      <c r="N377" s="1">
        <v>1</v>
      </c>
      <c r="O377" s="1">
        <v>0</v>
      </c>
      <c r="P377" s="1">
        <v>1</v>
      </c>
      <c r="Q377" s="3"/>
      <c r="R377" s="3"/>
      <c r="S377" s="3">
        <v>130407</v>
      </c>
      <c r="T377" s="1">
        <v>1.4438359999999999</v>
      </c>
      <c r="U377" s="3"/>
      <c r="V377" s="3"/>
      <c r="X377" s="1">
        <v>130407</v>
      </c>
      <c r="Y377" s="22">
        <v>1.4438359999999999</v>
      </c>
      <c r="Z377" s="4">
        <f>Table1[[#This Row],[totalTimeKept]]*$AD$3</f>
        <v>21657.539999999997</v>
      </c>
      <c r="AA377" s="4">
        <f>Y377-Z377</f>
        <v>-21656.096163999999</v>
      </c>
    </row>
    <row r="378" spans="1:27" x14ac:dyDescent="0.3">
      <c r="A378" s="1">
        <v>9709845</v>
      </c>
      <c r="B378" s="1" t="s">
        <v>678</v>
      </c>
      <c r="C378" s="1" t="s">
        <v>679</v>
      </c>
      <c r="D378" s="1">
        <v>7777491</v>
      </c>
      <c r="E378" s="1">
        <v>0</v>
      </c>
      <c r="F378" s="1" t="s">
        <v>139</v>
      </c>
      <c r="G378" s="1" t="s">
        <v>25</v>
      </c>
      <c r="H378" s="2">
        <v>41709</v>
      </c>
      <c r="I378" s="2">
        <v>43843</v>
      </c>
      <c r="J378" s="2" t="s">
        <v>25</v>
      </c>
      <c r="K378" s="3">
        <v>47000</v>
      </c>
      <c r="L378" s="3"/>
      <c r="M378" s="3">
        <v>-47000</v>
      </c>
      <c r="N378" s="1">
        <v>0</v>
      </c>
      <c r="O378" s="1">
        <v>1</v>
      </c>
      <c r="P378" s="1">
        <v>0</v>
      </c>
      <c r="Q378" s="3">
        <v>37500</v>
      </c>
      <c r="R378" s="3"/>
      <c r="S378" s="3">
        <v>-84500</v>
      </c>
      <c r="T378" s="1">
        <v>5.1013700000000002</v>
      </c>
      <c r="U378" s="3">
        <v>28000</v>
      </c>
      <c r="V378" s="3">
        <v>0</v>
      </c>
      <c r="W378" s="1">
        <v>1.764384</v>
      </c>
      <c r="X378" s="1">
        <v>-56500</v>
      </c>
      <c r="Y378" s="22">
        <v>6.8657529999999998</v>
      </c>
      <c r="Z378" s="4">
        <f>Table1[[#This Row],[totalTimeKept]]*$AD$3</f>
        <v>102986.295</v>
      </c>
      <c r="AA378" s="4">
        <f>Y378-Z378</f>
        <v>-102979.42924699999</v>
      </c>
    </row>
    <row r="379" spans="1:27" x14ac:dyDescent="0.3">
      <c r="A379" s="1">
        <v>9728544</v>
      </c>
      <c r="B379" s="1" t="s">
        <v>680</v>
      </c>
      <c r="C379" s="1" t="s">
        <v>681</v>
      </c>
      <c r="D379" s="1">
        <v>8373594</v>
      </c>
      <c r="E379" s="1">
        <v>0</v>
      </c>
      <c r="F379" s="1" t="s">
        <v>139</v>
      </c>
      <c r="G379" s="1" t="s">
        <v>24</v>
      </c>
      <c r="H379" s="2">
        <v>41740</v>
      </c>
      <c r="I379" s="2">
        <v>43843</v>
      </c>
      <c r="J379" s="2">
        <v>44510</v>
      </c>
      <c r="K379" s="3">
        <v>250000</v>
      </c>
      <c r="L379" s="3">
        <v>600000</v>
      </c>
      <c r="M379" s="3">
        <v>350000</v>
      </c>
      <c r="N379" s="1">
        <v>0</v>
      </c>
      <c r="O379" s="1">
        <v>1</v>
      </c>
      <c r="P379" s="1">
        <v>1</v>
      </c>
      <c r="Q379" s="3">
        <v>20000</v>
      </c>
      <c r="R379" s="3"/>
      <c r="S379" s="3">
        <v>330000</v>
      </c>
      <c r="T379" s="1">
        <v>1.8273969999999999</v>
      </c>
      <c r="U379" s="3">
        <v>18000</v>
      </c>
      <c r="V379" s="3">
        <v>0</v>
      </c>
      <c r="W379" s="1">
        <v>0.91232880000000005</v>
      </c>
      <c r="X379" s="1">
        <v>348000</v>
      </c>
      <c r="Y379" s="22">
        <v>2.7397260000000001</v>
      </c>
      <c r="Z379" s="4">
        <f>Table1[[#This Row],[totalTimeKept]]*$AD$3</f>
        <v>41095.89</v>
      </c>
      <c r="AA379" s="4">
        <f>Y379-Z379</f>
        <v>-41093.150274</v>
      </c>
    </row>
    <row r="380" spans="1:27" x14ac:dyDescent="0.3">
      <c r="A380" s="1">
        <v>9730341</v>
      </c>
      <c r="B380" s="1" t="s">
        <v>682</v>
      </c>
      <c r="C380" s="1" t="s">
        <v>683</v>
      </c>
      <c r="D380" s="1">
        <v>7113644</v>
      </c>
      <c r="E380" s="1">
        <v>0</v>
      </c>
      <c r="F380" s="1" t="s">
        <v>139</v>
      </c>
      <c r="G380" s="1" t="s">
        <v>139</v>
      </c>
      <c r="H380" s="2">
        <v>41670</v>
      </c>
      <c r="I380" s="2">
        <v>43408</v>
      </c>
      <c r="J380" s="2">
        <v>44144</v>
      </c>
      <c r="K380" s="3">
        <v>575000</v>
      </c>
      <c r="L380" s="3">
        <v>1600000</v>
      </c>
      <c r="M380" s="3">
        <v>1025000</v>
      </c>
      <c r="N380" s="1">
        <v>0</v>
      </c>
      <c r="O380" s="1">
        <v>1</v>
      </c>
      <c r="P380" s="1">
        <v>1</v>
      </c>
      <c r="Q380" s="3">
        <v>18518.52</v>
      </c>
      <c r="R380" s="3"/>
      <c r="S380" s="3">
        <v>1006482</v>
      </c>
      <c r="T380" s="1">
        <v>2.016438</v>
      </c>
      <c r="U380" s="3"/>
      <c r="V380" s="3"/>
      <c r="X380" s="1">
        <v>1006482</v>
      </c>
      <c r="Y380" s="22">
        <v>2.016438</v>
      </c>
      <c r="Z380" s="4">
        <f>Table1[[#This Row],[totalTimeKept]]*$AD$3</f>
        <v>30246.57</v>
      </c>
      <c r="AA380" s="4">
        <f>Y380-Z380</f>
        <v>-30244.553562000001</v>
      </c>
    </row>
    <row r="381" spans="1:27" x14ac:dyDescent="0.3">
      <c r="A381" s="1">
        <v>9735465</v>
      </c>
      <c r="B381" s="1" t="s">
        <v>684</v>
      </c>
      <c r="C381" s="1" t="s">
        <v>334</v>
      </c>
      <c r="D381" s="1">
        <v>7411150</v>
      </c>
      <c r="E381" s="1">
        <v>0</v>
      </c>
      <c r="F381" s="1" t="s">
        <v>25</v>
      </c>
      <c r="G381" s="1" t="s">
        <v>46</v>
      </c>
      <c r="H381" s="2">
        <v>41786</v>
      </c>
      <c r="I381" s="1" t="s">
        <v>25</v>
      </c>
      <c r="J381" s="2">
        <v>42266</v>
      </c>
      <c r="K381" s="3"/>
      <c r="L381" s="3">
        <v>11000</v>
      </c>
      <c r="M381" s="3">
        <v>11000</v>
      </c>
      <c r="N381" s="1">
        <v>1</v>
      </c>
      <c r="O381" s="1">
        <v>0</v>
      </c>
      <c r="P381" s="1">
        <v>1</v>
      </c>
      <c r="Q381" s="3"/>
      <c r="R381" s="3"/>
      <c r="S381" s="3">
        <v>11000</v>
      </c>
      <c r="T381" s="1">
        <v>1.3150679999999999</v>
      </c>
      <c r="U381" s="3"/>
      <c r="V381" s="3"/>
      <c r="X381" s="1">
        <v>11000</v>
      </c>
      <c r="Y381" s="22">
        <v>1.3150679999999999</v>
      </c>
      <c r="Z381" s="4">
        <f>Table1[[#This Row],[totalTimeKept]]*$AD$3</f>
        <v>19726.019999999997</v>
      </c>
      <c r="AA381" s="4">
        <f>Y381-Z381</f>
        <v>-19724.704931999997</v>
      </c>
    </row>
    <row r="382" spans="1:27" x14ac:dyDescent="0.3">
      <c r="A382" s="1">
        <v>9742975</v>
      </c>
      <c r="B382" s="1" t="s">
        <v>685</v>
      </c>
      <c r="C382" s="1" t="s">
        <v>686</v>
      </c>
      <c r="D382" s="1">
        <v>7749613</v>
      </c>
      <c r="E382" s="1">
        <v>0</v>
      </c>
      <c r="F382" s="1" t="s">
        <v>139</v>
      </c>
      <c r="G382" s="1" t="s">
        <v>25</v>
      </c>
      <c r="H382" s="2">
        <v>41718</v>
      </c>
      <c r="I382" s="2">
        <v>43501</v>
      </c>
      <c r="J382" s="1" t="s">
        <v>25</v>
      </c>
      <c r="K382" s="3">
        <v>60000</v>
      </c>
      <c r="L382" s="3"/>
      <c r="M382" s="3">
        <v>-60000</v>
      </c>
      <c r="N382" s="1">
        <v>0</v>
      </c>
      <c r="O382" s="1">
        <v>1</v>
      </c>
      <c r="P382" s="1">
        <v>0</v>
      </c>
      <c r="Q382" s="3">
        <v>0</v>
      </c>
      <c r="R382" s="3"/>
      <c r="S382" s="3">
        <v>-60000</v>
      </c>
      <c r="T382" s="1">
        <v>6.0383560000000003</v>
      </c>
      <c r="U382" s="3"/>
      <c r="V382" s="3"/>
      <c r="X382" s="1">
        <v>-60000</v>
      </c>
      <c r="Y382" s="22">
        <v>6.0383560000000003</v>
      </c>
      <c r="Z382" s="4">
        <f>Table1[[#This Row],[totalTimeKept]]*$AD$3</f>
        <v>90575.340000000011</v>
      </c>
      <c r="AA382" s="4">
        <f>Y382-Z382</f>
        <v>-90569.301644000006</v>
      </c>
    </row>
    <row r="383" spans="1:27" x14ac:dyDescent="0.3">
      <c r="A383" s="1">
        <v>9747091</v>
      </c>
      <c r="B383" s="1" t="s">
        <v>687</v>
      </c>
      <c r="C383" s="1" t="s">
        <v>189</v>
      </c>
      <c r="D383" s="1">
        <v>7695106</v>
      </c>
      <c r="E383" s="1">
        <v>0</v>
      </c>
      <c r="F383" s="1" t="s">
        <v>25</v>
      </c>
      <c r="G383" s="1" t="s">
        <v>46</v>
      </c>
      <c r="H383" s="2">
        <v>41774</v>
      </c>
      <c r="I383" s="1" t="s">
        <v>25</v>
      </c>
      <c r="J383" s="2">
        <v>42044</v>
      </c>
      <c r="K383" s="3"/>
      <c r="L383" s="3">
        <v>40000</v>
      </c>
      <c r="M383" s="3">
        <v>40000</v>
      </c>
      <c r="N383" s="1">
        <v>1</v>
      </c>
      <c r="O383" s="1">
        <v>0</v>
      </c>
      <c r="P383" s="1">
        <v>1</v>
      </c>
      <c r="Q383" s="3"/>
      <c r="R383" s="3"/>
      <c r="S383" s="3">
        <v>40000</v>
      </c>
      <c r="T383" s="1">
        <v>0.73972599999999999</v>
      </c>
      <c r="U383" s="3"/>
      <c r="V383" s="3"/>
      <c r="X383" s="1">
        <v>40000</v>
      </c>
      <c r="Y383" s="22">
        <v>0.73972599999999999</v>
      </c>
      <c r="Z383" s="4">
        <f>Table1[[#This Row],[totalTimeKept]]*$AD$3</f>
        <v>11095.89</v>
      </c>
      <c r="AA383" s="4">
        <f>Y383-Z383</f>
        <v>-11095.150274</v>
      </c>
    </row>
    <row r="384" spans="1:27" x14ac:dyDescent="0.3">
      <c r="A384" s="1">
        <v>9747098</v>
      </c>
      <c r="B384" s="1" t="s">
        <v>688</v>
      </c>
      <c r="C384" s="1" t="s">
        <v>65</v>
      </c>
      <c r="D384" s="1">
        <v>5017307</v>
      </c>
      <c r="E384" s="1">
        <v>0</v>
      </c>
      <c r="F384" s="1" t="s">
        <v>25</v>
      </c>
      <c r="G384" s="1" t="s">
        <v>46</v>
      </c>
      <c r="H384" s="2">
        <v>41683</v>
      </c>
      <c r="I384" s="1" t="s">
        <v>25</v>
      </c>
      <c r="J384" s="2">
        <v>42268</v>
      </c>
      <c r="K384" s="3"/>
      <c r="L384" s="3">
        <v>22000</v>
      </c>
      <c r="M384" s="3">
        <v>22000</v>
      </c>
      <c r="N384" s="1">
        <v>1</v>
      </c>
      <c r="O384" s="1">
        <v>0</v>
      </c>
      <c r="P384" s="1">
        <v>1</v>
      </c>
      <c r="Q384" s="3"/>
      <c r="R384" s="3"/>
      <c r="S384" s="3">
        <v>22000</v>
      </c>
      <c r="T384" s="1">
        <v>1.6027400000000001</v>
      </c>
      <c r="U384" s="3"/>
      <c r="V384" s="3"/>
      <c r="X384" s="1">
        <v>22000</v>
      </c>
      <c r="Y384" s="22">
        <v>1.6027400000000001</v>
      </c>
      <c r="Z384" s="4">
        <f>Table1[[#This Row],[totalTimeKept]]*$AD$3</f>
        <v>24041.100000000002</v>
      </c>
      <c r="AA384" s="4">
        <f>Y384-Z384</f>
        <v>-24039.497260000004</v>
      </c>
    </row>
    <row r="385" spans="1:27" x14ac:dyDescent="0.3">
      <c r="A385" s="1">
        <v>9747699</v>
      </c>
      <c r="B385" s="1" t="s">
        <v>689</v>
      </c>
      <c r="C385" s="1" t="s">
        <v>690</v>
      </c>
      <c r="D385" s="1">
        <v>8306152</v>
      </c>
      <c r="E385" s="1">
        <v>0</v>
      </c>
      <c r="F385" s="1" t="s">
        <v>25</v>
      </c>
      <c r="G385" s="1" t="s">
        <v>349</v>
      </c>
      <c r="H385" s="2">
        <v>41719</v>
      </c>
      <c r="I385" s="1" t="s">
        <v>25</v>
      </c>
      <c r="J385" s="2">
        <v>41947</v>
      </c>
      <c r="K385" s="3"/>
      <c r="L385" s="3">
        <v>375000</v>
      </c>
      <c r="M385" s="3">
        <v>375000</v>
      </c>
      <c r="N385" s="1">
        <v>1</v>
      </c>
      <c r="O385" s="1">
        <v>0</v>
      </c>
      <c r="P385" s="1">
        <v>1</v>
      </c>
      <c r="Q385" s="3"/>
      <c r="R385" s="3"/>
      <c r="S385" s="3">
        <v>375000</v>
      </c>
      <c r="T385" s="1">
        <v>0.62465749999999998</v>
      </c>
      <c r="U385" s="3"/>
      <c r="V385" s="3"/>
      <c r="X385" s="1">
        <v>375000</v>
      </c>
      <c r="Y385" s="22">
        <v>0.62465749999999998</v>
      </c>
      <c r="Z385" s="4">
        <f>Table1[[#This Row],[totalTimeKept]]*$AD$3</f>
        <v>9369.8624999999993</v>
      </c>
      <c r="AA385" s="4">
        <f>Y385-Z385</f>
        <v>-9369.2378424999988</v>
      </c>
    </row>
    <row r="386" spans="1:27" x14ac:dyDescent="0.3">
      <c r="A386" s="1">
        <v>9755247</v>
      </c>
      <c r="B386" s="1" t="s">
        <v>691</v>
      </c>
      <c r="C386" s="1" t="s">
        <v>692</v>
      </c>
      <c r="D386" s="1">
        <v>6837101</v>
      </c>
      <c r="E386" s="1">
        <v>0</v>
      </c>
      <c r="F386" s="1" t="s">
        <v>25</v>
      </c>
      <c r="G386" s="1" t="s">
        <v>349</v>
      </c>
      <c r="H386" s="2">
        <v>41694</v>
      </c>
      <c r="I386" s="2" t="s">
        <v>25</v>
      </c>
      <c r="J386" s="2">
        <v>41951</v>
      </c>
      <c r="K386" s="3"/>
      <c r="L386" s="3">
        <v>30000</v>
      </c>
      <c r="M386" s="3">
        <v>30000</v>
      </c>
      <c r="N386" s="1">
        <v>1</v>
      </c>
      <c r="O386" s="1">
        <v>0</v>
      </c>
      <c r="P386" s="1">
        <v>1</v>
      </c>
      <c r="Q386" s="3"/>
      <c r="R386" s="3"/>
      <c r="S386" s="3">
        <v>30000</v>
      </c>
      <c r="T386" s="1">
        <v>0.7041096</v>
      </c>
      <c r="U386" s="3"/>
      <c r="V386" s="3"/>
      <c r="X386" s="1">
        <v>30000</v>
      </c>
      <c r="Y386" s="22">
        <v>0.7041096</v>
      </c>
      <c r="Z386" s="4">
        <f>Table1[[#This Row],[totalTimeKept]]*$AD$3</f>
        <v>10561.644</v>
      </c>
      <c r="AA386" s="4">
        <f>Y386-Z386</f>
        <v>-10560.939890400001</v>
      </c>
    </row>
    <row r="387" spans="1:27" x14ac:dyDescent="0.3">
      <c r="A387" s="1">
        <v>9790973</v>
      </c>
      <c r="B387" s="1" t="s">
        <v>693</v>
      </c>
      <c r="C387" s="1" t="s">
        <v>694</v>
      </c>
      <c r="D387" s="1">
        <v>4667420</v>
      </c>
      <c r="E387" s="1">
        <v>0</v>
      </c>
      <c r="F387" s="1" t="s">
        <v>139</v>
      </c>
      <c r="G387" s="1" t="s">
        <v>24</v>
      </c>
      <c r="H387" s="2">
        <v>41710</v>
      </c>
      <c r="I387" s="2">
        <v>44144</v>
      </c>
      <c r="J387" s="2">
        <v>44876</v>
      </c>
      <c r="K387" s="3">
        <v>100000</v>
      </c>
      <c r="L387" s="3">
        <v>400000</v>
      </c>
      <c r="M387" s="3">
        <v>300000</v>
      </c>
      <c r="N387" s="1">
        <v>0</v>
      </c>
      <c r="O387" s="1">
        <v>1</v>
      </c>
      <c r="P387" s="1">
        <v>1</v>
      </c>
      <c r="Q387" s="3">
        <v>150000</v>
      </c>
      <c r="R387" s="3"/>
      <c r="S387" s="3">
        <v>150000</v>
      </c>
      <c r="T387" s="1">
        <v>2.0054789999999998</v>
      </c>
      <c r="U387" s="3"/>
      <c r="V387" s="3"/>
      <c r="X387" s="1">
        <v>150000</v>
      </c>
      <c r="Y387" s="22">
        <v>2.0054789999999998</v>
      </c>
      <c r="Z387" s="4">
        <f>Table1[[#This Row],[totalTimeKept]]*$AD$3</f>
        <v>30082.184999999998</v>
      </c>
      <c r="AA387" s="4">
        <f>Y387-Z387</f>
        <v>-30080.179520999998</v>
      </c>
    </row>
    <row r="388" spans="1:27" x14ac:dyDescent="0.3">
      <c r="A388" s="1">
        <v>9843235</v>
      </c>
      <c r="B388" s="1" t="s">
        <v>695</v>
      </c>
      <c r="C388" s="1" t="s">
        <v>696</v>
      </c>
      <c r="D388" s="1">
        <v>9104635</v>
      </c>
      <c r="E388" s="1">
        <v>0</v>
      </c>
      <c r="F388" s="1" t="s">
        <v>25</v>
      </c>
      <c r="G388" s="1" t="s">
        <v>46</v>
      </c>
      <c r="H388" s="2">
        <v>42009</v>
      </c>
      <c r="I388" s="1" t="s">
        <v>25</v>
      </c>
      <c r="J388" s="2">
        <v>42408</v>
      </c>
      <c r="K388" s="3"/>
      <c r="L388" s="3">
        <v>20000</v>
      </c>
      <c r="M388" s="3">
        <v>20000</v>
      </c>
      <c r="N388" s="1">
        <v>1</v>
      </c>
      <c r="O388" s="1">
        <v>0</v>
      </c>
      <c r="P388" s="1">
        <v>1</v>
      </c>
      <c r="Q388" s="3"/>
      <c r="R388" s="3"/>
      <c r="S388" s="3">
        <v>20000</v>
      </c>
      <c r="T388" s="1">
        <v>1.093151</v>
      </c>
      <c r="U388" s="3"/>
      <c r="V388" s="3"/>
      <c r="X388" s="1">
        <v>20000</v>
      </c>
      <c r="Y388" s="22">
        <v>1.093151</v>
      </c>
      <c r="Z388" s="4">
        <f>Table1[[#This Row],[totalTimeKept]]*$AD$3</f>
        <v>16397.264999999999</v>
      </c>
      <c r="AA388" s="4">
        <f>Y388-Z388</f>
        <v>-16396.171848999998</v>
      </c>
    </row>
    <row r="389" spans="1:27" x14ac:dyDescent="0.3">
      <c r="A389" s="1">
        <v>9856223</v>
      </c>
      <c r="B389" s="1" t="s">
        <v>697</v>
      </c>
      <c r="C389" s="1" t="s">
        <v>278</v>
      </c>
      <c r="D389" s="1">
        <v>8356627</v>
      </c>
      <c r="E389" s="1">
        <v>0</v>
      </c>
      <c r="F389" s="1" t="s">
        <v>25</v>
      </c>
      <c r="G389" s="1" t="s">
        <v>46</v>
      </c>
      <c r="H389" s="2">
        <v>42033</v>
      </c>
      <c r="I389" s="1" t="s">
        <v>25</v>
      </c>
      <c r="J389" s="2">
        <v>42596</v>
      </c>
      <c r="K389" s="3"/>
      <c r="L389" s="3">
        <v>70000</v>
      </c>
      <c r="M389" s="3">
        <v>70000</v>
      </c>
      <c r="N389" s="1">
        <v>1</v>
      </c>
      <c r="O389" s="1">
        <v>0</v>
      </c>
      <c r="P389" s="1">
        <v>1</v>
      </c>
      <c r="Q389" s="3"/>
      <c r="R389" s="3"/>
      <c r="S389" s="3">
        <v>70000</v>
      </c>
      <c r="T389" s="1">
        <v>1.5424659999999999</v>
      </c>
      <c r="U389" s="3"/>
      <c r="V389" s="3"/>
      <c r="X389" s="1">
        <v>70000</v>
      </c>
      <c r="Y389" s="22">
        <v>1.5424659999999999</v>
      </c>
      <c r="Z389" s="4">
        <f>Table1[[#This Row],[totalTimeKept]]*$AD$3</f>
        <v>23136.989999999998</v>
      </c>
      <c r="AA389" s="4">
        <f>Y389-Z389</f>
        <v>-23135.447533999999</v>
      </c>
    </row>
    <row r="390" spans="1:27" x14ac:dyDescent="0.3">
      <c r="A390" s="1">
        <v>9856233</v>
      </c>
      <c r="B390" s="1" t="s">
        <v>698</v>
      </c>
      <c r="C390" s="1" t="s">
        <v>699</v>
      </c>
      <c r="D390" s="1">
        <v>8834219</v>
      </c>
      <c r="E390" s="1">
        <v>0</v>
      </c>
      <c r="F390" s="1" t="s">
        <v>25</v>
      </c>
      <c r="G390" s="1" t="s">
        <v>46</v>
      </c>
      <c r="H390" s="2">
        <v>42038</v>
      </c>
      <c r="I390" s="1" t="s">
        <v>25</v>
      </c>
      <c r="J390" s="2">
        <v>42563</v>
      </c>
      <c r="K390" s="3"/>
      <c r="L390" s="3">
        <v>65000</v>
      </c>
      <c r="M390" s="3">
        <v>65000</v>
      </c>
      <c r="N390" s="1">
        <v>1</v>
      </c>
      <c r="O390" s="1">
        <v>0</v>
      </c>
      <c r="P390" s="1">
        <v>1</v>
      </c>
      <c r="Q390" s="3"/>
      <c r="R390" s="3"/>
      <c r="S390" s="3">
        <v>65000</v>
      </c>
      <c r="T390" s="1">
        <v>1.438356</v>
      </c>
      <c r="U390" s="3"/>
      <c r="V390" s="3"/>
      <c r="X390" s="1">
        <v>65000</v>
      </c>
      <c r="Y390" s="22">
        <v>1.438356</v>
      </c>
      <c r="Z390" s="4">
        <f>Table1[[#This Row],[totalTimeKept]]*$AD$3</f>
        <v>21575.34</v>
      </c>
      <c r="AA390" s="4">
        <f>Y390-Z390</f>
        <v>-21573.901644000001</v>
      </c>
    </row>
    <row r="391" spans="1:27" x14ac:dyDescent="0.3">
      <c r="A391" s="1">
        <v>9857737</v>
      </c>
      <c r="B391" s="1" t="s">
        <v>700</v>
      </c>
      <c r="C391" s="1" t="s">
        <v>701</v>
      </c>
      <c r="D391" s="1">
        <v>8856817</v>
      </c>
      <c r="E391" s="1">
        <v>0</v>
      </c>
      <c r="F391" s="1" t="s">
        <v>25</v>
      </c>
      <c r="G391" s="1" t="s">
        <v>292</v>
      </c>
      <c r="H391" s="2">
        <v>42043</v>
      </c>
      <c r="I391" s="1" t="s">
        <v>25</v>
      </c>
      <c r="J391" s="2">
        <v>42852</v>
      </c>
      <c r="K391" s="3"/>
      <c r="L391" s="3">
        <v>300000</v>
      </c>
      <c r="M391" s="3">
        <v>300000</v>
      </c>
      <c r="N391" s="1">
        <v>1</v>
      </c>
      <c r="O391" s="1">
        <v>0</v>
      </c>
      <c r="P391" s="1">
        <v>1</v>
      </c>
      <c r="Q391" s="3"/>
      <c r="R391" s="3"/>
      <c r="S391" s="3">
        <v>300000</v>
      </c>
      <c r="T391" s="1">
        <v>2.2164380000000001</v>
      </c>
      <c r="U391" s="3"/>
      <c r="V391" s="3"/>
      <c r="X391" s="1">
        <v>300000</v>
      </c>
      <c r="Y391" s="22">
        <v>2.2164380000000001</v>
      </c>
      <c r="Z391" s="4">
        <f>Table1[[#This Row],[totalTimeKept]]*$AD$3</f>
        <v>33246.57</v>
      </c>
      <c r="AA391" s="4">
        <f>Y391-Z391</f>
        <v>-33244.353561999997</v>
      </c>
    </row>
    <row r="392" spans="1:27" x14ac:dyDescent="0.3">
      <c r="A392" s="1">
        <v>9864655</v>
      </c>
      <c r="B392" s="1" t="s">
        <v>702</v>
      </c>
      <c r="C392" s="1" t="s">
        <v>703</v>
      </c>
      <c r="D392" s="1">
        <v>8567762</v>
      </c>
      <c r="E392" s="1">
        <v>0</v>
      </c>
      <c r="F392" s="1" t="s">
        <v>25</v>
      </c>
      <c r="G392" s="1" t="s">
        <v>46</v>
      </c>
      <c r="H392" s="2">
        <v>42048</v>
      </c>
      <c r="I392" s="1" t="s">
        <v>25</v>
      </c>
      <c r="J392" s="2">
        <v>42597</v>
      </c>
      <c r="K392" s="3"/>
      <c r="L392" s="3">
        <v>30000</v>
      </c>
      <c r="M392" s="3">
        <v>30000</v>
      </c>
      <c r="N392" s="1">
        <v>1</v>
      </c>
      <c r="O392" s="1">
        <v>0</v>
      </c>
      <c r="P392" s="1">
        <v>1</v>
      </c>
      <c r="Q392" s="3"/>
      <c r="R392" s="3"/>
      <c r="S392" s="3">
        <v>30000</v>
      </c>
      <c r="T392" s="1">
        <v>1.5041100000000001</v>
      </c>
      <c r="U392" s="3"/>
      <c r="V392" s="3"/>
      <c r="X392" s="1">
        <v>30000</v>
      </c>
      <c r="Y392" s="22">
        <v>1.5041100000000001</v>
      </c>
      <c r="Z392" s="4">
        <f>Table1[[#This Row],[totalTimeKept]]*$AD$3</f>
        <v>22561.65</v>
      </c>
      <c r="AA392" s="4">
        <f>Y392-Z392</f>
        <v>-22560.14589</v>
      </c>
    </row>
    <row r="393" spans="1:27" x14ac:dyDescent="0.3">
      <c r="A393" s="1">
        <v>9864659</v>
      </c>
      <c r="B393" s="1" t="s">
        <v>704</v>
      </c>
      <c r="C393" s="1" t="s">
        <v>705</v>
      </c>
      <c r="D393" s="1">
        <v>8587974</v>
      </c>
      <c r="E393" s="1">
        <v>0</v>
      </c>
      <c r="F393" s="1" t="s">
        <v>25</v>
      </c>
      <c r="G393" s="1" t="s">
        <v>25</v>
      </c>
      <c r="H393" s="2">
        <v>42051</v>
      </c>
      <c r="I393" s="1" t="s">
        <v>25</v>
      </c>
      <c r="J393" s="2" t="s">
        <v>25</v>
      </c>
      <c r="K393" s="3"/>
      <c r="L393" s="3"/>
      <c r="M393" s="3">
        <v>0</v>
      </c>
      <c r="N393" s="1">
        <v>1</v>
      </c>
      <c r="P393" s="1">
        <v>0</v>
      </c>
      <c r="Q393" s="3"/>
      <c r="R393" s="3"/>
      <c r="S393" s="3">
        <v>0</v>
      </c>
      <c r="T393" s="1">
        <v>10.010960000000001</v>
      </c>
      <c r="U393" s="3"/>
      <c r="V393" s="3"/>
      <c r="X393" s="1">
        <v>0</v>
      </c>
      <c r="Y393" s="22">
        <v>10.010960000000001</v>
      </c>
      <c r="Z393" s="4">
        <f>Table1[[#This Row],[totalTimeKept]]*$AD$3</f>
        <v>150164.40000000002</v>
      </c>
      <c r="AA393" s="4">
        <f>Y393-Z393</f>
        <v>-150154.38904000001</v>
      </c>
    </row>
    <row r="394" spans="1:27" x14ac:dyDescent="0.3">
      <c r="A394" s="1">
        <v>9867605</v>
      </c>
      <c r="B394" s="1" t="s">
        <v>706</v>
      </c>
      <c r="C394" s="1" t="s">
        <v>199</v>
      </c>
      <c r="D394" s="1">
        <v>7732950</v>
      </c>
      <c r="E394" s="1">
        <v>0</v>
      </c>
      <c r="F394" s="1" t="s">
        <v>25</v>
      </c>
      <c r="G394" s="1" t="s">
        <v>46</v>
      </c>
      <c r="H394" s="2">
        <v>42049</v>
      </c>
      <c r="I394" s="1" t="s">
        <v>25</v>
      </c>
      <c r="J394" s="2">
        <v>42626</v>
      </c>
      <c r="K394" s="3"/>
      <c r="L394" s="3">
        <v>1200000</v>
      </c>
      <c r="M394" s="3">
        <v>1200000</v>
      </c>
      <c r="N394" s="1">
        <v>1</v>
      </c>
      <c r="O394" s="1">
        <v>0</v>
      </c>
      <c r="P394" s="1">
        <v>1</v>
      </c>
      <c r="Q394" s="3"/>
      <c r="R394" s="3"/>
      <c r="S394" s="3">
        <v>1200000</v>
      </c>
      <c r="T394" s="1">
        <v>1.5808219999999999</v>
      </c>
      <c r="U394" s="3"/>
      <c r="V394" s="3"/>
      <c r="X394" s="1">
        <v>1200000</v>
      </c>
      <c r="Y394" s="22">
        <v>1.5808219999999999</v>
      </c>
      <c r="Z394" s="4">
        <f>Table1[[#This Row],[totalTimeKept]]*$AD$3</f>
        <v>23712.329999999998</v>
      </c>
      <c r="AA394" s="4">
        <f>Y394-Z394</f>
        <v>-23710.749177999998</v>
      </c>
    </row>
    <row r="395" spans="1:27" x14ac:dyDescent="0.3">
      <c r="A395" s="1">
        <v>9867610</v>
      </c>
      <c r="B395" s="1" t="s">
        <v>707</v>
      </c>
      <c r="C395" s="1" t="s">
        <v>171</v>
      </c>
      <c r="D395" s="1">
        <v>7485686</v>
      </c>
      <c r="E395" s="1">
        <v>0</v>
      </c>
      <c r="F395" s="1" t="s">
        <v>25</v>
      </c>
      <c r="G395" s="1" t="s">
        <v>46</v>
      </c>
      <c r="H395" s="2">
        <v>42055</v>
      </c>
      <c r="I395" s="1" t="s">
        <v>25</v>
      </c>
      <c r="J395" s="2">
        <v>42590</v>
      </c>
      <c r="K395" s="3"/>
      <c r="L395" s="3">
        <v>190000</v>
      </c>
      <c r="M395" s="3">
        <v>190000</v>
      </c>
      <c r="N395" s="1">
        <v>1</v>
      </c>
      <c r="O395" s="1">
        <v>0</v>
      </c>
      <c r="P395" s="1">
        <v>1</v>
      </c>
      <c r="Q395" s="3"/>
      <c r="R395" s="3"/>
      <c r="S395" s="3">
        <v>190000</v>
      </c>
      <c r="T395" s="1">
        <v>1.4657530000000001</v>
      </c>
      <c r="U395" s="3"/>
      <c r="V395" s="3"/>
      <c r="X395" s="1">
        <v>190000</v>
      </c>
      <c r="Y395" s="22">
        <v>1.4657530000000001</v>
      </c>
      <c r="Z395" s="4">
        <f>Table1[[#This Row],[totalTimeKept]]*$AD$3</f>
        <v>21986.295000000002</v>
      </c>
      <c r="AA395" s="4">
        <f>Y395-Z395</f>
        <v>-21984.829247000001</v>
      </c>
    </row>
    <row r="396" spans="1:27" x14ac:dyDescent="0.3">
      <c r="A396" s="1">
        <v>9867734</v>
      </c>
      <c r="B396" s="1" t="s">
        <v>708</v>
      </c>
      <c r="C396" s="1" t="s">
        <v>709</v>
      </c>
      <c r="D396" s="1">
        <v>5204057</v>
      </c>
      <c r="E396" s="1">
        <v>0</v>
      </c>
      <c r="F396" s="1" t="s">
        <v>139</v>
      </c>
      <c r="G396" s="1" t="s">
        <v>25</v>
      </c>
      <c r="H396" s="2">
        <v>42055</v>
      </c>
      <c r="I396" s="2">
        <v>43410</v>
      </c>
      <c r="J396" s="2" t="s">
        <v>25</v>
      </c>
      <c r="K396" s="3">
        <v>230000</v>
      </c>
      <c r="L396" s="3"/>
      <c r="M396" s="3">
        <v>-230000</v>
      </c>
      <c r="N396" s="1">
        <v>0</v>
      </c>
      <c r="O396" s="1">
        <v>1</v>
      </c>
      <c r="P396" s="1">
        <v>0</v>
      </c>
      <c r="Q396" s="3">
        <v>53233.08</v>
      </c>
      <c r="R396" s="3"/>
      <c r="S396" s="3">
        <v>-283233.09999999998</v>
      </c>
      <c r="T396" s="1">
        <v>6.2876709999999996</v>
      </c>
      <c r="U396" s="3"/>
      <c r="V396" s="3"/>
      <c r="X396" s="1">
        <v>-283233.09999999998</v>
      </c>
      <c r="Y396" s="22">
        <v>6.2876709999999996</v>
      </c>
      <c r="Z396" s="4">
        <f>Table1[[#This Row],[totalTimeKept]]*$AD$3</f>
        <v>94315.064999999988</v>
      </c>
      <c r="AA396" s="4">
        <f>Y396-Z396</f>
        <v>-94308.77732899999</v>
      </c>
    </row>
    <row r="397" spans="1:27" x14ac:dyDescent="0.3">
      <c r="A397" s="1">
        <v>9875282</v>
      </c>
      <c r="B397" s="1" t="s">
        <v>710</v>
      </c>
      <c r="C397" s="1" t="s">
        <v>711</v>
      </c>
      <c r="D397" s="1">
        <v>7718240</v>
      </c>
      <c r="E397" s="1">
        <v>0</v>
      </c>
      <c r="F397" s="1" t="s">
        <v>139</v>
      </c>
      <c r="G397" s="1" t="s">
        <v>25</v>
      </c>
      <c r="H397" s="2">
        <v>42049</v>
      </c>
      <c r="I397" s="2">
        <v>43408</v>
      </c>
      <c r="J397" s="2" t="s">
        <v>25</v>
      </c>
      <c r="K397" s="3">
        <v>325000</v>
      </c>
      <c r="L397" s="3"/>
      <c r="M397" s="3">
        <v>-325000</v>
      </c>
      <c r="N397" s="1">
        <v>0</v>
      </c>
      <c r="O397" s="1">
        <v>1</v>
      </c>
      <c r="P397" s="1">
        <v>0</v>
      </c>
      <c r="Q397" s="3">
        <v>0</v>
      </c>
      <c r="R397" s="3"/>
      <c r="S397" s="3">
        <v>-325000</v>
      </c>
      <c r="T397" s="1">
        <v>6.2931509999999999</v>
      </c>
      <c r="U397" s="3"/>
      <c r="V397" s="3"/>
      <c r="X397" s="1">
        <v>-325000</v>
      </c>
      <c r="Y397" s="22">
        <v>6.2931509999999999</v>
      </c>
      <c r="Z397" s="4">
        <f>Table1[[#This Row],[totalTimeKept]]*$AD$3</f>
        <v>94397.264999999999</v>
      </c>
      <c r="AA397" s="4">
        <f>Y397-Z397</f>
        <v>-94390.971848999994</v>
      </c>
    </row>
    <row r="398" spans="1:27" x14ac:dyDescent="0.3">
      <c r="A398" s="1">
        <v>9875338</v>
      </c>
      <c r="B398" s="1" t="s">
        <v>712</v>
      </c>
      <c r="C398" s="1" t="s">
        <v>293</v>
      </c>
      <c r="D398" s="1">
        <v>8548991</v>
      </c>
      <c r="E398" s="1">
        <v>0</v>
      </c>
      <c r="F398" s="1" t="s">
        <v>25</v>
      </c>
      <c r="G398" s="1" t="s">
        <v>46</v>
      </c>
      <c r="H398" s="2">
        <v>42059</v>
      </c>
      <c r="I398" s="2" t="s">
        <v>25</v>
      </c>
      <c r="J398" s="2">
        <v>42630</v>
      </c>
      <c r="K398" s="3"/>
      <c r="L398" s="3">
        <v>15000</v>
      </c>
      <c r="M398" s="3">
        <v>15000</v>
      </c>
      <c r="N398" s="1">
        <v>1</v>
      </c>
      <c r="O398" s="1">
        <v>0</v>
      </c>
      <c r="P398" s="1">
        <v>1</v>
      </c>
      <c r="Q398" s="3"/>
      <c r="R398" s="3"/>
      <c r="S398" s="3">
        <v>15000</v>
      </c>
      <c r="T398" s="1">
        <v>1.564384</v>
      </c>
      <c r="U398" s="3"/>
      <c r="V398" s="3"/>
      <c r="X398" s="1">
        <v>15000</v>
      </c>
      <c r="Y398" s="22">
        <v>1.564384</v>
      </c>
      <c r="Z398" s="4">
        <f>Table1[[#This Row],[totalTimeKept]]*$AD$3</f>
        <v>23465.759999999998</v>
      </c>
      <c r="AA398" s="4">
        <f>Y398-Z398</f>
        <v>-23464.195615999997</v>
      </c>
    </row>
    <row r="399" spans="1:27" x14ac:dyDescent="0.3">
      <c r="A399" s="1">
        <v>9879035</v>
      </c>
      <c r="B399" s="1" t="s">
        <v>713</v>
      </c>
      <c r="C399" s="1" t="s">
        <v>260</v>
      </c>
      <c r="D399" s="1">
        <v>8296004</v>
      </c>
      <c r="E399" s="1">
        <v>0</v>
      </c>
      <c r="F399" s="1" t="s">
        <v>25</v>
      </c>
      <c r="G399" s="1" t="s">
        <v>46</v>
      </c>
      <c r="H399" s="2">
        <v>42031</v>
      </c>
      <c r="I399" s="1" t="s">
        <v>25</v>
      </c>
      <c r="J399" s="2">
        <v>42636</v>
      </c>
      <c r="K399" s="3"/>
      <c r="L399" s="3">
        <v>3000</v>
      </c>
      <c r="M399" s="3">
        <v>3000</v>
      </c>
      <c r="N399" s="1">
        <v>1</v>
      </c>
      <c r="O399" s="1">
        <v>0</v>
      </c>
      <c r="P399" s="1">
        <v>1</v>
      </c>
      <c r="Q399" s="3"/>
      <c r="R399" s="3"/>
      <c r="S399" s="3">
        <v>3000</v>
      </c>
      <c r="T399" s="1">
        <v>1.6575340000000001</v>
      </c>
      <c r="U399" s="3"/>
      <c r="V399" s="3"/>
      <c r="X399" s="1">
        <v>3000</v>
      </c>
      <c r="Y399" s="22">
        <v>1.6575340000000001</v>
      </c>
      <c r="Z399" s="4">
        <f>Table1[[#This Row],[totalTimeKept]]*$AD$3</f>
        <v>24863.010000000002</v>
      </c>
      <c r="AA399" s="4">
        <f>Y399-Z399</f>
        <v>-24861.352466</v>
      </c>
    </row>
    <row r="400" spans="1:27" x14ac:dyDescent="0.3">
      <c r="A400" s="1">
        <v>9879049</v>
      </c>
      <c r="B400" s="1" t="s">
        <v>714</v>
      </c>
      <c r="C400" s="1" t="s">
        <v>400</v>
      </c>
      <c r="D400" s="1">
        <v>8926093</v>
      </c>
      <c r="E400" s="1">
        <v>0</v>
      </c>
      <c r="F400" s="1" t="s">
        <v>25</v>
      </c>
      <c r="G400" s="1" t="s">
        <v>349</v>
      </c>
      <c r="H400" s="2">
        <v>42046</v>
      </c>
      <c r="I400" s="1" t="s">
        <v>25</v>
      </c>
      <c r="J400" s="2">
        <v>42310</v>
      </c>
      <c r="K400" s="3"/>
      <c r="L400" s="3">
        <v>135000</v>
      </c>
      <c r="M400" s="3">
        <v>135000</v>
      </c>
      <c r="N400" s="1">
        <v>1</v>
      </c>
      <c r="O400" s="1">
        <v>0</v>
      </c>
      <c r="P400" s="1">
        <v>1</v>
      </c>
      <c r="Q400" s="3"/>
      <c r="R400" s="3"/>
      <c r="S400" s="3">
        <v>135000</v>
      </c>
      <c r="T400" s="1">
        <v>0.72328760000000003</v>
      </c>
      <c r="U400" s="3"/>
      <c r="V400" s="3"/>
      <c r="X400" s="1">
        <v>135000</v>
      </c>
      <c r="Y400" s="22">
        <v>0.72328760000000003</v>
      </c>
      <c r="Z400" s="4">
        <f>Table1[[#This Row],[totalTimeKept]]*$AD$3</f>
        <v>10849.314</v>
      </c>
      <c r="AA400" s="4">
        <f>Y400-Z400</f>
        <v>-10848.5907124</v>
      </c>
    </row>
    <row r="401" spans="1:27" x14ac:dyDescent="0.3">
      <c r="A401" s="1">
        <v>9879052</v>
      </c>
      <c r="B401" s="1" t="s">
        <v>715</v>
      </c>
      <c r="C401" s="1" t="s">
        <v>716</v>
      </c>
      <c r="D401" s="1">
        <v>9066666</v>
      </c>
      <c r="E401" s="1">
        <v>0</v>
      </c>
      <c r="F401" s="1" t="s">
        <v>25</v>
      </c>
      <c r="G401" s="1" t="s">
        <v>349</v>
      </c>
      <c r="H401" s="2">
        <v>42048</v>
      </c>
      <c r="I401" s="2" t="s">
        <v>25</v>
      </c>
      <c r="J401" s="2">
        <v>42311</v>
      </c>
      <c r="K401" s="3"/>
      <c r="L401" s="3">
        <v>180000</v>
      </c>
      <c r="M401" s="3">
        <v>180000</v>
      </c>
      <c r="N401" s="1">
        <v>1</v>
      </c>
      <c r="O401" s="1">
        <v>0</v>
      </c>
      <c r="P401" s="1">
        <v>1</v>
      </c>
      <c r="Q401" s="3"/>
      <c r="R401" s="3"/>
      <c r="S401" s="3">
        <v>180000</v>
      </c>
      <c r="T401" s="1">
        <v>0.72054799999999997</v>
      </c>
      <c r="U401" s="3"/>
      <c r="V401" s="3"/>
      <c r="X401" s="1">
        <v>180000</v>
      </c>
      <c r="Y401" s="22">
        <v>0.72054799999999997</v>
      </c>
      <c r="Z401" s="4">
        <f>Table1[[#This Row],[totalTimeKept]]*$AD$3</f>
        <v>10808.22</v>
      </c>
      <c r="AA401" s="4">
        <f>Y401-Z401</f>
        <v>-10807.499452</v>
      </c>
    </row>
    <row r="402" spans="1:27" x14ac:dyDescent="0.3">
      <c r="A402" s="1">
        <v>9879053</v>
      </c>
      <c r="B402" s="1" t="s">
        <v>717</v>
      </c>
      <c r="C402" s="1" t="s">
        <v>107</v>
      </c>
      <c r="D402" s="1">
        <v>6587169</v>
      </c>
      <c r="E402" s="1">
        <v>0</v>
      </c>
      <c r="F402" s="1" t="s">
        <v>25</v>
      </c>
      <c r="G402" s="1" t="s">
        <v>349</v>
      </c>
      <c r="H402" s="2">
        <v>42050</v>
      </c>
      <c r="I402" s="1" t="s">
        <v>25</v>
      </c>
      <c r="J402" s="2">
        <v>42311</v>
      </c>
      <c r="K402" s="3"/>
      <c r="L402" s="3">
        <v>390000</v>
      </c>
      <c r="M402" s="3">
        <v>390000</v>
      </c>
      <c r="N402" s="1">
        <v>1</v>
      </c>
      <c r="O402" s="1">
        <v>0</v>
      </c>
      <c r="P402" s="1">
        <v>1</v>
      </c>
      <c r="Q402" s="3"/>
      <c r="R402" s="3"/>
      <c r="S402" s="3">
        <v>390000</v>
      </c>
      <c r="T402" s="1">
        <v>0.7150685</v>
      </c>
      <c r="U402" s="3"/>
      <c r="V402" s="3"/>
      <c r="X402" s="1">
        <v>390000</v>
      </c>
      <c r="Y402" s="22">
        <v>0.7150685</v>
      </c>
      <c r="Z402" s="4">
        <f>Table1[[#This Row],[totalTimeKept]]*$AD$3</f>
        <v>10726.0275</v>
      </c>
      <c r="AA402" s="4">
        <f>Y402-Z402</f>
        <v>-10725.3124315</v>
      </c>
    </row>
    <row r="403" spans="1:27" x14ac:dyDescent="0.3">
      <c r="A403" s="1">
        <v>9879054</v>
      </c>
      <c r="B403" s="1" t="s">
        <v>718</v>
      </c>
      <c r="C403" s="1" t="s">
        <v>301</v>
      </c>
      <c r="D403" s="1">
        <v>8581723</v>
      </c>
      <c r="E403" s="1">
        <v>0</v>
      </c>
      <c r="F403" s="1" t="s">
        <v>25</v>
      </c>
      <c r="G403" s="1" t="s">
        <v>46</v>
      </c>
      <c r="H403" s="2">
        <v>42054</v>
      </c>
      <c r="I403" s="2" t="s">
        <v>25</v>
      </c>
      <c r="J403" s="2">
        <v>42630</v>
      </c>
      <c r="K403" s="3"/>
      <c r="L403" s="3">
        <v>150000</v>
      </c>
      <c r="M403" s="3">
        <v>150000</v>
      </c>
      <c r="N403" s="1">
        <v>1</v>
      </c>
      <c r="O403" s="1">
        <v>0</v>
      </c>
      <c r="P403" s="1">
        <v>1</v>
      </c>
      <c r="Q403" s="3"/>
      <c r="R403" s="3"/>
      <c r="S403" s="3">
        <v>150000</v>
      </c>
      <c r="T403" s="1">
        <v>1.578082</v>
      </c>
      <c r="U403" s="3"/>
      <c r="V403" s="3"/>
      <c r="X403" s="1">
        <v>150000</v>
      </c>
      <c r="Y403" s="22">
        <v>1.578082</v>
      </c>
      <c r="Z403" s="4">
        <f>Table1[[#This Row],[totalTimeKept]]*$AD$3</f>
        <v>23671.23</v>
      </c>
      <c r="AA403" s="4">
        <f>Y403-Z403</f>
        <v>-23669.651918</v>
      </c>
    </row>
    <row r="404" spans="1:27" x14ac:dyDescent="0.3">
      <c r="A404" s="1">
        <v>9880545</v>
      </c>
      <c r="B404" s="1" t="s">
        <v>719</v>
      </c>
      <c r="C404" s="1" t="s">
        <v>720</v>
      </c>
      <c r="D404" s="1">
        <v>8281860</v>
      </c>
      <c r="E404" s="1">
        <v>0</v>
      </c>
      <c r="F404" s="1" t="s">
        <v>25</v>
      </c>
      <c r="G404" s="1" t="s">
        <v>25</v>
      </c>
      <c r="H404" s="2">
        <v>42073</v>
      </c>
      <c r="I404" s="2" t="s">
        <v>25</v>
      </c>
      <c r="J404" s="2" t="s">
        <v>25</v>
      </c>
      <c r="K404" s="3"/>
      <c r="L404" s="3"/>
      <c r="M404" s="3">
        <v>0</v>
      </c>
      <c r="N404" s="1">
        <v>1</v>
      </c>
      <c r="P404" s="1">
        <v>0</v>
      </c>
      <c r="Q404" s="3">
        <v>80000</v>
      </c>
      <c r="R404" s="3"/>
      <c r="S404" s="3">
        <v>-80000</v>
      </c>
      <c r="T404" s="1">
        <v>9.950685</v>
      </c>
      <c r="U404" s="3"/>
      <c r="V404" s="3"/>
      <c r="X404" s="1">
        <v>-80000</v>
      </c>
      <c r="Y404" s="22">
        <v>9.950685</v>
      </c>
      <c r="Z404" s="4">
        <f>Table1[[#This Row],[totalTimeKept]]*$AD$3</f>
        <v>149260.27499999999</v>
      </c>
      <c r="AA404" s="4">
        <f>Y404-Z404</f>
        <v>-149250.32431500001</v>
      </c>
    </row>
    <row r="405" spans="1:27" x14ac:dyDescent="0.3">
      <c r="A405" s="1">
        <v>9882435</v>
      </c>
      <c r="B405" s="1" t="s">
        <v>721</v>
      </c>
      <c r="C405" s="1" t="s">
        <v>722</v>
      </c>
      <c r="D405" s="1">
        <v>7769998</v>
      </c>
      <c r="E405" s="1">
        <v>0</v>
      </c>
      <c r="F405" s="1" t="s">
        <v>24</v>
      </c>
      <c r="G405" s="1" t="s">
        <v>24</v>
      </c>
      <c r="H405" s="2">
        <v>42073</v>
      </c>
      <c r="I405" s="2">
        <v>43777</v>
      </c>
      <c r="J405" s="2">
        <v>44511</v>
      </c>
      <c r="K405" s="3">
        <v>330000</v>
      </c>
      <c r="L405" s="3">
        <v>560000</v>
      </c>
      <c r="M405" s="3">
        <v>230000</v>
      </c>
      <c r="N405" s="1">
        <v>0</v>
      </c>
      <c r="O405" s="1">
        <v>1</v>
      </c>
      <c r="P405" s="1">
        <v>1</v>
      </c>
      <c r="Q405" s="3">
        <v>0</v>
      </c>
      <c r="R405" s="3"/>
      <c r="S405" s="3">
        <v>230000</v>
      </c>
      <c r="T405" s="1">
        <v>2.0109590000000002</v>
      </c>
      <c r="U405" s="3">
        <v>700000</v>
      </c>
      <c r="V405" s="3">
        <v>0</v>
      </c>
      <c r="W405" s="1">
        <v>1.70411</v>
      </c>
      <c r="X405" s="1">
        <v>930000</v>
      </c>
      <c r="Y405" s="22">
        <v>3.715068</v>
      </c>
      <c r="Z405" s="4">
        <f>Table1[[#This Row],[totalTimeKept]]*$AD$3</f>
        <v>55726.020000000004</v>
      </c>
      <c r="AA405" s="4">
        <f>Y405-Z405</f>
        <v>-55722.304932000006</v>
      </c>
    </row>
    <row r="406" spans="1:27" x14ac:dyDescent="0.3">
      <c r="A406" s="1">
        <v>9883306</v>
      </c>
      <c r="B406" s="1" t="s">
        <v>723</v>
      </c>
      <c r="C406" s="1" t="s">
        <v>295</v>
      </c>
      <c r="D406" s="1">
        <v>8571544</v>
      </c>
      <c r="E406" s="1">
        <v>0</v>
      </c>
      <c r="F406" s="1" t="s">
        <v>25</v>
      </c>
      <c r="G406" s="1" t="s">
        <v>46</v>
      </c>
      <c r="H406" s="2">
        <v>42075</v>
      </c>
      <c r="I406" s="1" t="s">
        <v>25</v>
      </c>
      <c r="J406" s="2">
        <v>42408</v>
      </c>
      <c r="K406" s="3"/>
      <c r="L406" s="3">
        <v>2000</v>
      </c>
      <c r="M406" s="3">
        <v>2000</v>
      </c>
      <c r="N406" s="1">
        <v>1</v>
      </c>
      <c r="O406" s="1">
        <v>0</v>
      </c>
      <c r="P406" s="1">
        <v>1</v>
      </c>
      <c r="Q406" s="3"/>
      <c r="R406" s="3"/>
      <c r="S406" s="3">
        <v>2000</v>
      </c>
      <c r="T406" s="1">
        <v>0.91232880000000005</v>
      </c>
      <c r="U406" s="3"/>
      <c r="V406" s="3"/>
      <c r="X406" s="1">
        <v>2000</v>
      </c>
      <c r="Y406" s="22">
        <v>0.91232880000000005</v>
      </c>
      <c r="Z406" s="4">
        <f>Table1[[#This Row],[totalTimeKept]]*$AD$3</f>
        <v>13684.932000000001</v>
      </c>
      <c r="AA406" s="4">
        <f>Y406-Z406</f>
        <v>-13684.019671200002</v>
      </c>
    </row>
    <row r="407" spans="1:27" x14ac:dyDescent="0.3">
      <c r="A407" s="1">
        <v>9883308</v>
      </c>
      <c r="B407" s="1" t="s">
        <v>724</v>
      </c>
      <c r="C407" s="1" t="s">
        <v>336</v>
      </c>
      <c r="D407" s="1">
        <v>6674784</v>
      </c>
      <c r="E407" s="1">
        <v>0</v>
      </c>
      <c r="F407" s="1" t="s">
        <v>25</v>
      </c>
      <c r="G407" s="1" t="s">
        <v>46</v>
      </c>
      <c r="H407" s="2">
        <v>42075</v>
      </c>
      <c r="I407" s="1" t="s">
        <v>25</v>
      </c>
      <c r="J407" s="2">
        <v>42628</v>
      </c>
      <c r="K407" s="3"/>
      <c r="L407" s="3">
        <v>150000</v>
      </c>
      <c r="M407" s="3">
        <v>150000</v>
      </c>
      <c r="N407" s="1">
        <v>1</v>
      </c>
      <c r="O407" s="1">
        <v>0</v>
      </c>
      <c r="P407" s="1">
        <v>1</v>
      </c>
      <c r="Q407" s="3"/>
      <c r="R407" s="3"/>
      <c r="S407" s="3">
        <v>150000</v>
      </c>
      <c r="T407" s="1">
        <v>1.515069</v>
      </c>
      <c r="U407" s="3"/>
      <c r="V407" s="3"/>
      <c r="X407" s="1">
        <v>150000</v>
      </c>
      <c r="Y407" s="22">
        <v>1.515069</v>
      </c>
      <c r="Z407" s="4">
        <f>Table1[[#This Row],[totalTimeKept]]*$AD$3</f>
        <v>22726.035</v>
      </c>
      <c r="AA407" s="4">
        <f>Y407-Z407</f>
        <v>-22724.519930999999</v>
      </c>
    </row>
    <row r="408" spans="1:27" x14ac:dyDescent="0.3">
      <c r="A408" s="1">
        <v>9883322</v>
      </c>
      <c r="B408" s="1" t="s">
        <v>725</v>
      </c>
      <c r="C408" s="1" t="s">
        <v>65</v>
      </c>
      <c r="D408" s="1">
        <v>5017307</v>
      </c>
      <c r="E408" s="1">
        <v>0</v>
      </c>
      <c r="F408" s="1" t="s">
        <v>25</v>
      </c>
      <c r="G408" s="1" t="s">
        <v>46</v>
      </c>
      <c r="H408" s="2">
        <v>42079</v>
      </c>
      <c r="I408" s="1" t="s">
        <v>25</v>
      </c>
      <c r="J408" s="2">
        <v>42409</v>
      </c>
      <c r="K408" s="3"/>
      <c r="L408" s="3">
        <v>5500</v>
      </c>
      <c r="M408" s="3">
        <v>5500</v>
      </c>
      <c r="N408" s="1">
        <v>1</v>
      </c>
      <c r="O408" s="1">
        <v>0</v>
      </c>
      <c r="P408" s="1">
        <v>1</v>
      </c>
      <c r="Q408" s="3"/>
      <c r="R408" s="3"/>
      <c r="S408" s="3">
        <v>5500</v>
      </c>
      <c r="T408" s="1">
        <v>0.90410959999999996</v>
      </c>
      <c r="U408" s="3"/>
      <c r="V408" s="3"/>
      <c r="X408" s="1">
        <v>5500</v>
      </c>
      <c r="Y408" s="22">
        <v>0.90410959999999996</v>
      </c>
      <c r="Z408" s="4">
        <f>Table1[[#This Row],[totalTimeKept]]*$AD$3</f>
        <v>13561.644</v>
      </c>
      <c r="AA408" s="4">
        <f>Y408-Z408</f>
        <v>-13560.7398904</v>
      </c>
    </row>
    <row r="409" spans="1:27" x14ac:dyDescent="0.3">
      <c r="A409" s="1">
        <v>9884854</v>
      </c>
      <c r="B409" s="1" t="s">
        <v>726</v>
      </c>
      <c r="C409" s="1" t="s">
        <v>631</v>
      </c>
      <c r="D409" s="1">
        <v>7412239</v>
      </c>
      <c r="E409" s="1">
        <v>0</v>
      </c>
      <c r="F409" s="1" t="s">
        <v>25</v>
      </c>
      <c r="G409" s="1" t="s">
        <v>292</v>
      </c>
      <c r="H409" s="2">
        <v>42075</v>
      </c>
      <c r="I409" s="1" t="s">
        <v>25</v>
      </c>
      <c r="J409" s="2">
        <v>42900</v>
      </c>
      <c r="K409" s="3"/>
      <c r="L409" s="3">
        <v>50000</v>
      </c>
      <c r="M409" s="3">
        <v>50000</v>
      </c>
      <c r="N409" s="1">
        <v>1</v>
      </c>
      <c r="O409" s="1">
        <v>0</v>
      </c>
      <c r="P409" s="1">
        <v>1</v>
      </c>
      <c r="Q409" s="3"/>
      <c r="R409" s="3"/>
      <c r="S409" s="3">
        <v>50000</v>
      </c>
      <c r="T409" s="1">
        <v>2.2602739999999999</v>
      </c>
      <c r="U409" s="3"/>
      <c r="V409" s="3"/>
      <c r="X409" s="1">
        <v>50000</v>
      </c>
      <c r="Y409" s="22">
        <v>2.2602739999999999</v>
      </c>
      <c r="Z409" s="4">
        <f>Table1[[#This Row],[totalTimeKept]]*$AD$3</f>
        <v>33904.11</v>
      </c>
      <c r="AA409" s="4">
        <f>Y409-Z409</f>
        <v>-33901.849726</v>
      </c>
    </row>
    <row r="410" spans="1:27" x14ac:dyDescent="0.3">
      <c r="A410" s="1">
        <v>9885499</v>
      </c>
      <c r="B410" s="1" t="s">
        <v>727</v>
      </c>
      <c r="C410" s="1" t="s">
        <v>728</v>
      </c>
      <c r="D410" s="1">
        <v>8879429</v>
      </c>
      <c r="E410" s="1">
        <v>0</v>
      </c>
      <c r="F410" s="1" t="s">
        <v>25</v>
      </c>
      <c r="G410" s="1" t="s">
        <v>46</v>
      </c>
      <c r="H410" s="2">
        <v>42072</v>
      </c>
      <c r="I410" s="1" t="s">
        <v>25</v>
      </c>
      <c r="J410" s="2">
        <v>42408</v>
      </c>
      <c r="K410" s="3"/>
      <c r="L410" s="3">
        <v>1000</v>
      </c>
      <c r="M410" s="3">
        <v>1000</v>
      </c>
      <c r="N410" s="1">
        <v>1</v>
      </c>
      <c r="O410" s="1">
        <v>0</v>
      </c>
      <c r="P410" s="1">
        <v>1</v>
      </c>
      <c r="Q410" s="3"/>
      <c r="R410" s="3"/>
      <c r="S410" s="3">
        <v>1000</v>
      </c>
      <c r="T410" s="1">
        <v>0.92054800000000003</v>
      </c>
      <c r="U410" s="3"/>
      <c r="V410" s="3"/>
      <c r="X410" s="1">
        <v>1000</v>
      </c>
      <c r="Y410" s="22">
        <v>0.92054800000000003</v>
      </c>
      <c r="Z410" s="4">
        <f>Table1[[#This Row],[totalTimeKept]]*$AD$3</f>
        <v>13808.220000000001</v>
      </c>
      <c r="AA410" s="4">
        <f>Y410-Z410</f>
        <v>-13807.299452000001</v>
      </c>
    </row>
    <row r="411" spans="1:27" x14ac:dyDescent="0.3">
      <c r="A411" s="1">
        <v>9893363</v>
      </c>
      <c r="B411" s="1" t="s">
        <v>729</v>
      </c>
      <c r="C411" s="1" t="s">
        <v>348</v>
      </c>
      <c r="D411" s="1">
        <v>7778152</v>
      </c>
      <c r="E411" s="1">
        <v>0</v>
      </c>
      <c r="F411" s="1" t="s">
        <v>25</v>
      </c>
      <c r="G411" s="1" t="s">
        <v>46</v>
      </c>
      <c r="H411" s="2">
        <v>42092</v>
      </c>
      <c r="I411" s="1" t="s">
        <v>25</v>
      </c>
      <c r="J411" s="2">
        <v>42632</v>
      </c>
      <c r="K411" s="3"/>
      <c r="L411" s="3">
        <v>50000</v>
      </c>
      <c r="M411" s="3">
        <v>50000</v>
      </c>
      <c r="N411" s="1">
        <v>1</v>
      </c>
      <c r="O411" s="1">
        <v>0</v>
      </c>
      <c r="P411" s="1">
        <v>1</v>
      </c>
      <c r="Q411" s="3"/>
      <c r="R411" s="3"/>
      <c r="S411" s="3">
        <v>50000</v>
      </c>
      <c r="T411" s="1">
        <v>1.479452</v>
      </c>
      <c r="U411" s="3"/>
      <c r="V411" s="3"/>
      <c r="X411" s="1">
        <v>50000</v>
      </c>
      <c r="Y411" s="22">
        <v>1.479452</v>
      </c>
      <c r="Z411" s="4">
        <f>Table1[[#This Row],[totalTimeKept]]*$AD$3</f>
        <v>22191.78</v>
      </c>
      <c r="AA411" s="4">
        <f>Y411-Z411</f>
        <v>-22190.300547999999</v>
      </c>
    </row>
    <row r="412" spans="1:27" x14ac:dyDescent="0.3">
      <c r="A412" s="1">
        <v>9893418</v>
      </c>
      <c r="B412" s="1" t="s">
        <v>730</v>
      </c>
      <c r="C412" s="1" t="s">
        <v>205</v>
      </c>
      <c r="D412" s="1">
        <v>7753394</v>
      </c>
      <c r="E412" s="1">
        <v>126050</v>
      </c>
      <c r="F412" s="1" t="s">
        <v>25</v>
      </c>
      <c r="G412" s="1" t="s">
        <v>25</v>
      </c>
      <c r="H412" s="2">
        <v>42097</v>
      </c>
      <c r="I412" s="1" t="s">
        <v>25</v>
      </c>
      <c r="J412" s="2" t="s">
        <v>25</v>
      </c>
      <c r="K412" s="3"/>
      <c r="L412" s="3"/>
      <c r="M412" s="3">
        <v>0</v>
      </c>
      <c r="N412" s="1">
        <v>1</v>
      </c>
      <c r="P412" s="1">
        <v>0</v>
      </c>
      <c r="Q412" s="3"/>
      <c r="R412" s="3"/>
      <c r="S412" s="3">
        <v>126050</v>
      </c>
      <c r="T412" s="1">
        <v>9.8849319999999992</v>
      </c>
      <c r="U412" s="3"/>
      <c r="V412" s="3"/>
      <c r="X412" s="1">
        <v>126050</v>
      </c>
      <c r="Y412" s="22">
        <v>9.8849319999999992</v>
      </c>
      <c r="Z412" s="4">
        <f>Table1[[#This Row],[totalTimeKept]]*$AD$3</f>
        <v>148273.97999999998</v>
      </c>
      <c r="AA412" s="4">
        <f>Y412-Z412</f>
        <v>-148264.095068</v>
      </c>
    </row>
    <row r="413" spans="1:27" x14ac:dyDescent="0.3">
      <c r="A413" s="1">
        <v>9894057</v>
      </c>
      <c r="B413" s="1" t="s">
        <v>731</v>
      </c>
      <c r="C413" s="1" t="s">
        <v>622</v>
      </c>
      <c r="D413" s="1">
        <v>8067432</v>
      </c>
      <c r="E413" s="1">
        <v>0</v>
      </c>
      <c r="F413" s="1" t="s">
        <v>25</v>
      </c>
      <c r="G413" s="1" t="s">
        <v>46</v>
      </c>
      <c r="H413" s="2">
        <v>42087</v>
      </c>
      <c r="I413" s="2" t="s">
        <v>25</v>
      </c>
      <c r="J413" s="2">
        <v>42647</v>
      </c>
      <c r="K413" s="3"/>
      <c r="L413" s="3">
        <v>87640</v>
      </c>
      <c r="M413" s="3">
        <v>87640</v>
      </c>
      <c r="N413" s="1">
        <v>1</v>
      </c>
      <c r="O413" s="1">
        <v>0</v>
      </c>
      <c r="P413" s="1">
        <v>1</v>
      </c>
      <c r="Q413" s="3"/>
      <c r="R413" s="3"/>
      <c r="S413" s="3">
        <v>87640</v>
      </c>
      <c r="T413" s="1">
        <v>1.5342469999999999</v>
      </c>
      <c r="U413" s="3"/>
      <c r="V413" s="3"/>
      <c r="X413" s="1">
        <v>87640</v>
      </c>
      <c r="Y413" s="22">
        <v>1.5342469999999999</v>
      </c>
      <c r="Z413" s="4">
        <f>Table1[[#This Row],[totalTimeKept]]*$AD$3</f>
        <v>23013.704999999998</v>
      </c>
      <c r="AA413" s="4">
        <f>Y413-Z413</f>
        <v>-23012.170752999999</v>
      </c>
    </row>
    <row r="414" spans="1:27" x14ac:dyDescent="0.3">
      <c r="A414" s="1">
        <v>9894078</v>
      </c>
      <c r="B414" s="1" t="s">
        <v>732</v>
      </c>
      <c r="C414" s="1" t="s">
        <v>53</v>
      </c>
      <c r="D414" s="1">
        <v>4530465</v>
      </c>
      <c r="E414" s="1">
        <v>2250</v>
      </c>
      <c r="F414" s="1" t="s">
        <v>25</v>
      </c>
      <c r="G414" s="1" t="s">
        <v>24</v>
      </c>
      <c r="H414" s="2">
        <v>42094</v>
      </c>
      <c r="I414" s="1" t="s">
        <v>25</v>
      </c>
      <c r="J414" s="2">
        <v>43388</v>
      </c>
      <c r="K414" s="3"/>
      <c r="L414" s="3">
        <v>37000</v>
      </c>
      <c r="M414" s="3">
        <v>37000</v>
      </c>
      <c r="N414" s="1">
        <v>1</v>
      </c>
      <c r="O414" s="1">
        <v>0</v>
      </c>
      <c r="P414" s="1">
        <v>1</v>
      </c>
      <c r="Q414" s="3"/>
      <c r="R414" s="3"/>
      <c r="S414" s="3">
        <v>39250</v>
      </c>
      <c r="T414" s="1">
        <v>3.5452059999999999</v>
      </c>
      <c r="U414" s="3"/>
      <c r="V414" s="3"/>
      <c r="X414" s="1">
        <v>39250</v>
      </c>
      <c r="Y414" s="22">
        <v>3.5452059999999999</v>
      </c>
      <c r="Z414" s="4">
        <f>Table1[[#This Row],[totalTimeKept]]*$AD$3</f>
        <v>53178.09</v>
      </c>
      <c r="AA414" s="4">
        <f>Y414-Z414</f>
        <v>-53174.544793999994</v>
      </c>
    </row>
    <row r="415" spans="1:27" x14ac:dyDescent="0.3">
      <c r="A415" s="1">
        <v>9896189</v>
      </c>
      <c r="B415" s="1" t="s">
        <v>733</v>
      </c>
      <c r="C415" s="1" t="s">
        <v>280</v>
      </c>
      <c r="D415" s="1">
        <v>8366395</v>
      </c>
      <c r="E415" s="1">
        <v>0</v>
      </c>
      <c r="F415" s="1" t="s">
        <v>25</v>
      </c>
      <c r="G415" s="1" t="s">
        <v>46</v>
      </c>
      <c r="H415" s="2">
        <v>42102</v>
      </c>
      <c r="I415" s="1" t="s">
        <v>25</v>
      </c>
      <c r="J415" s="2">
        <v>42633</v>
      </c>
      <c r="K415" s="3"/>
      <c r="L415" s="3">
        <v>32000</v>
      </c>
      <c r="M415" s="3">
        <v>32000</v>
      </c>
      <c r="N415" s="1">
        <v>1</v>
      </c>
      <c r="O415" s="1">
        <v>0</v>
      </c>
      <c r="P415" s="1">
        <v>1</v>
      </c>
      <c r="Q415" s="3"/>
      <c r="R415" s="3"/>
      <c r="S415" s="3">
        <v>32000</v>
      </c>
      <c r="T415" s="1">
        <v>1.4547950000000001</v>
      </c>
      <c r="U415" s="3"/>
      <c r="V415" s="3"/>
      <c r="X415" s="1">
        <v>32000</v>
      </c>
      <c r="Y415" s="22">
        <v>1.4547950000000001</v>
      </c>
      <c r="Z415" s="4">
        <f>Table1[[#This Row],[totalTimeKept]]*$AD$3</f>
        <v>21821.924999999999</v>
      </c>
      <c r="AA415" s="4">
        <f>Y415-Z415</f>
        <v>-21820.470204999998</v>
      </c>
    </row>
    <row r="416" spans="1:27" x14ac:dyDescent="0.3">
      <c r="A416" s="1">
        <v>9896809</v>
      </c>
      <c r="B416" s="1" t="s">
        <v>734</v>
      </c>
      <c r="C416" s="1" t="s">
        <v>462</v>
      </c>
      <c r="D416" s="1">
        <v>4307108</v>
      </c>
      <c r="E416" s="1">
        <v>0</v>
      </c>
      <c r="F416" s="1" t="s">
        <v>25</v>
      </c>
      <c r="G416" s="1" t="s">
        <v>46</v>
      </c>
      <c r="H416" s="2">
        <v>42081</v>
      </c>
      <c r="I416" s="1" t="s">
        <v>25</v>
      </c>
      <c r="J416" s="2">
        <v>42631</v>
      </c>
      <c r="K416" s="3"/>
      <c r="L416" s="3">
        <v>75000</v>
      </c>
      <c r="M416" s="3">
        <v>75000</v>
      </c>
      <c r="N416" s="1">
        <v>1</v>
      </c>
      <c r="O416" s="1">
        <v>0</v>
      </c>
      <c r="P416" s="1">
        <v>1</v>
      </c>
      <c r="Q416" s="3"/>
      <c r="R416" s="3"/>
      <c r="S416" s="3">
        <v>75000</v>
      </c>
      <c r="T416" s="1">
        <v>1.5068490000000001</v>
      </c>
      <c r="U416" s="3"/>
      <c r="V416" s="3"/>
      <c r="X416" s="1">
        <v>75000</v>
      </c>
      <c r="Y416" s="22">
        <v>1.5068490000000001</v>
      </c>
      <c r="Z416" s="4">
        <f>Table1[[#This Row],[totalTimeKept]]*$AD$3</f>
        <v>22602.735000000001</v>
      </c>
      <c r="AA416" s="4">
        <f>Y416-Z416</f>
        <v>-22601.228150999999</v>
      </c>
    </row>
    <row r="417" spans="1:27" x14ac:dyDescent="0.3">
      <c r="A417" s="1">
        <v>9896816</v>
      </c>
      <c r="B417" s="1" t="s">
        <v>735</v>
      </c>
      <c r="C417" s="1" t="s">
        <v>40</v>
      </c>
      <c r="D417" s="1">
        <v>4297755</v>
      </c>
      <c r="E417" s="1">
        <v>18460</v>
      </c>
      <c r="F417" s="1" t="s">
        <v>25</v>
      </c>
      <c r="G417" s="1" t="s">
        <v>24</v>
      </c>
      <c r="H417" s="2">
        <v>42089</v>
      </c>
      <c r="I417" s="1" t="s">
        <v>25</v>
      </c>
      <c r="J417" s="2">
        <v>44147</v>
      </c>
      <c r="K417" s="3"/>
      <c r="L417" s="3">
        <v>13000</v>
      </c>
      <c r="M417" s="3">
        <v>13000</v>
      </c>
      <c r="N417" s="1">
        <v>1</v>
      </c>
      <c r="O417" s="1">
        <v>0</v>
      </c>
      <c r="P417" s="1">
        <v>1</v>
      </c>
      <c r="Q417" s="3">
        <v>25000</v>
      </c>
      <c r="R417" s="3"/>
      <c r="S417" s="3">
        <v>6460</v>
      </c>
      <c r="T417" s="1">
        <v>5.6383559999999999</v>
      </c>
      <c r="U417" s="3"/>
      <c r="V417" s="3"/>
      <c r="X417" s="1">
        <v>6460</v>
      </c>
      <c r="Y417" s="22">
        <v>5.6383559999999999</v>
      </c>
      <c r="Z417" s="4">
        <f>Table1[[#This Row],[totalTimeKept]]*$AD$3</f>
        <v>84575.34</v>
      </c>
      <c r="AA417" s="4">
        <f>Y417-Z417</f>
        <v>-84569.701644000001</v>
      </c>
    </row>
    <row r="418" spans="1:27" x14ac:dyDescent="0.3">
      <c r="A418" s="1">
        <v>9896825</v>
      </c>
      <c r="B418" s="1" t="s">
        <v>736</v>
      </c>
      <c r="C418" s="1" t="s">
        <v>240</v>
      </c>
      <c r="D418" s="1">
        <v>8056970</v>
      </c>
      <c r="E418" s="1">
        <v>0</v>
      </c>
      <c r="F418" s="1" t="s">
        <v>25</v>
      </c>
      <c r="G418" s="1" t="s">
        <v>349</v>
      </c>
      <c r="H418" s="2">
        <v>42097</v>
      </c>
      <c r="I418" s="1" t="s">
        <v>25</v>
      </c>
      <c r="J418" s="2">
        <v>42314</v>
      </c>
      <c r="K418" s="3"/>
      <c r="L418" s="3">
        <v>90000</v>
      </c>
      <c r="M418" s="3">
        <v>90000</v>
      </c>
      <c r="N418" s="1">
        <v>1</v>
      </c>
      <c r="O418" s="1">
        <v>0</v>
      </c>
      <c r="P418" s="1">
        <v>1</v>
      </c>
      <c r="Q418" s="3"/>
      <c r="R418" s="3"/>
      <c r="S418" s="3">
        <v>90000</v>
      </c>
      <c r="T418" s="1">
        <v>0.59452059999999995</v>
      </c>
      <c r="U418" s="3"/>
      <c r="V418" s="3"/>
      <c r="X418" s="1">
        <v>90000</v>
      </c>
      <c r="Y418" s="22">
        <v>0.59452059999999995</v>
      </c>
      <c r="Z418" s="4">
        <f>Table1[[#This Row],[totalTimeKept]]*$AD$3</f>
        <v>8917.8089999999993</v>
      </c>
      <c r="AA418" s="4">
        <f>Y418-Z418</f>
        <v>-8917.2144793999996</v>
      </c>
    </row>
    <row r="419" spans="1:27" x14ac:dyDescent="0.3">
      <c r="A419" s="1">
        <v>9896828</v>
      </c>
      <c r="B419" s="1" t="s">
        <v>737</v>
      </c>
      <c r="C419" s="1" t="s">
        <v>137</v>
      </c>
      <c r="D419" s="1">
        <v>7177687</v>
      </c>
      <c r="E419" s="1">
        <v>0</v>
      </c>
      <c r="F419" s="1" t="s">
        <v>25</v>
      </c>
      <c r="G419" s="1" t="s">
        <v>46</v>
      </c>
      <c r="H419" s="2">
        <v>42091</v>
      </c>
      <c r="I419" s="1" t="s">
        <v>25</v>
      </c>
      <c r="J419" s="2">
        <v>42630</v>
      </c>
      <c r="K419" s="3"/>
      <c r="L419" s="3">
        <v>45000</v>
      </c>
      <c r="M419" s="3">
        <v>45000</v>
      </c>
      <c r="N419" s="1">
        <v>1</v>
      </c>
      <c r="O419" s="1">
        <v>0</v>
      </c>
      <c r="P419" s="1">
        <v>1</v>
      </c>
      <c r="Q419" s="3"/>
      <c r="R419" s="3"/>
      <c r="S419" s="3">
        <v>45000</v>
      </c>
      <c r="T419" s="1">
        <v>1.476712</v>
      </c>
      <c r="U419" s="3"/>
      <c r="V419" s="3"/>
      <c r="X419" s="1">
        <v>45000</v>
      </c>
      <c r="Y419" s="22">
        <v>1.476712</v>
      </c>
      <c r="Z419" s="4">
        <f>Table1[[#This Row],[totalTimeKept]]*$AD$3</f>
        <v>22150.68</v>
      </c>
      <c r="AA419" s="4">
        <f>Y419-Z419</f>
        <v>-22149.203288000001</v>
      </c>
    </row>
    <row r="420" spans="1:27" x14ac:dyDescent="0.3">
      <c r="A420" s="1">
        <v>9899427</v>
      </c>
      <c r="B420" s="1" t="s">
        <v>738</v>
      </c>
      <c r="C420" s="1" t="s">
        <v>42</v>
      </c>
      <c r="D420" s="1">
        <v>4351699</v>
      </c>
      <c r="E420" s="1">
        <v>0</v>
      </c>
      <c r="F420" s="1" t="s">
        <v>25</v>
      </c>
      <c r="G420" s="1" t="s">
        <v>292</v>
      </c>
      <c r="H420" s="2">
        <v>42098</v>
      </c>
      <c r="I420" s="1" t="s">
        <v>25</v>
      </c>
      <c r="J420" s="2">
        <v>42808</v>
      </c>
      <c r="K420" s="3"/>
      <c r="L420" s="3">
        <v>110000</v>
      </c>
      <c r="M420" s="3">
        <v>110000</v>
      </c>
      <c r="N420" s="1">
        <v>1</v>
      </c>
      <c r="O420" s="1">
        <v>0</v>
      </c>
      <c r="P420" s="1">
        <v>1</v>
      </c>
      <c r="Q420" s="3"/>
      <c r="R420" s="3"/>
      <c r="S420" s="3">
        <v>110000</v>
      </c>
      <c r="T420" s="1">
        <v>1.9452050000000001</v>
      </c>
      <c r="U420" s="3"/>
      <c r="V420" s="3"/>
      <c r="X420" s="1">
        <v>110000</v>
      </c>
      <c r="Y420" s="22">
        <v>1.9452050000000001</v>
      </c>
      <c r="Z420" s="4">
        <f>Table1[[#This Row],[totalTimeKept]]*$AD$3</f>
        <v>29178.075000000001</v>
      </c>
      <c r="AA420" s="4">
        <f>Y420-Z420</f>
        <v>-29176.129795000001</v>
      </c>
    </row>
    <row r="421" spans="1:27" x14ac:dyDescent="0.3">
      <c r="A421" s="1">
        <v>9903328</v>
      </c>
      <c r="B421" s="1" t="s">
        <v>739</v>
      </c>
      <c r="C421" s="1" t="s">
        <v>740</v>
      </c>
      <c r="D421" s="1">
        <v>8280029</v>
      </c>
      <c r="E421" s="1">
        <v>0</v>
      </c>
      <c r="F421" s="1" t="s">
        <v>25</v>
      </c>
      <c r="G421" s="1" t="s">
        <v>46</v>
      </c>
      <c r="H421" s="2">
        <v>42116</v>
      </c>
      <c r="I421" s="1" t="s">
        <v>25</v>
      </c>
      <c r="J421" s="2">
        <v>42632</v>
      </c>
      <c r="K421" s="3"/>
      <c r="L421" s="3">
        <v>15000</v>
      </c>
      <c r="M421" s="3">
        <v>15000</v>
      </c>
      <c r="N421" s="1">
        <v>1</v>
      </c>
      <c r="O421" s="1">
        <v>0</v>
      </c>
      <c r="P421" s="1">
        <v>1</v>
      </c>
      <c r="Q421" s="3"/>
      <c r="R421" s="3"/>
      <c r="S421" s="3">
        <v>15000</v>
      </c>
      <c r="T421" s="1">
        <v>1.413699</v>
      </c>
      <c r="U421" s="3"/>
      <c r="V421" s="3"/>
      <c r="X421" s="1">
        <v>15000</v>
      </c>
      <c r="Y421" s="22">
        <v>1.413699</v>
      </c>
      <c r="Z421" s="4">
        <f>Table1[[#This Row],[totalTimeKept]]*$AD$3</f>
        <v>21205.485000000001</v>
      </c>
      <c r="AA421" s="4">
        <f>Y421-Z421</f>
        <v>-21204.071301</v>
      </c>
    </row>
    <row r="422" spans="1:27" x14ac:dyDescent="0.3">
      <c r="A422" s="1">
        <v>9910047</v>
      </c>
      <c r="B422" s="1" t="s">
        <v>741</v>
      </c>
      <c r="C422" s="1" t="s">
        <v>742</v>
      </c>
      <c r="D422" s="1">
        <v>7152891</v>
      </c>
      <c r="E422" s="1">
        <v>0</v>
      </c>
      <c r="F422" s="1" t="s">
        <v>139</v>
      </c>
      <c r="G422" s="1" t="s">
        <v>24</v>
      </c>
      <c r="H422" s="2">
        <v>42043</v>
      </c>
      <c r="I422" s="2">
        <v>43290</v>
      </c>
      <c r="J422" s="2">
        <v>44148</v>
      </c>
      <c r="K422" s="3">
        <v>125000</v>
      </c>
      <c r="L422" s="3">
        <v>150000</v>
      </c>
      <c r="M422" s="3">
        <v>25000</v>
      </c>
      <c r="N422" s="1">
        <v>0</v>
      </c>
      <c r="O422" s="1">
        <v>1</v>
      </c>
      <c r="P422" s="1">
        <v>1</v>
      </c>
      <c r="Q422" s="3">
        <v>20000</v>
      </c>
      <c r="R422" s="3"/>
      <c r="S422" s="3">
        <v>5000</v>
      </c>
      <c r="T422" s="1">
        <v>2.3506849999999999</v>
      </c>
      <c r="U422" s="3">
        <v>75000</v>
      </c>
      <c r="V422" s="3">
        <v>0</v>
      </c>
      <c r="W422" s="1">
        <v>0.69863019999999998</v>
      </c>
      <c r="X422" s="1">
        <v>80000</v>
      </c>
      <c r="Y422" s="22">
        <v>3.049315</v>
      </c>
      <c r="Z422" s="4">
        <f>Table1[[#This Row],[totalTimeKept]]*$AD$3</f>
        <v>45739.724999999999</v>
      </c>
      <c r="AA422" s="4">
        <f>Y422-Z422</f>
        <v>-45736.675685000002</v>
      </c>
    </row>
    <row r="423" spans="1:27" x14ac:dyDescent="0.3">
      <c r="A423" s="1">
        <v>9912674</v>
      </c>
      <c r="B423" s="1" t="s">
        <v>743</v>
      </c>
      <c r="C423" s="1" t="s">
        <v>744</v>
      </c>
      <c r="D423" s="1">
        <v>4012412</v>
      </c>
      <c r="E423" s="1">
        <v>12700</v>
      </c>
      <c r="F423" s="1" t="s">
        <v>349</v>
      </c>
      <c r="G423" s="1" t="s">
        <v>24</v>
      </c>
      <c r="H423" s="2">
        <v>42133</v>
      </c>
      <c r="I423" s="2">
        <v>42311</v>
      </c>
      <c r="J423" s="2">
        <v>44207</v>
      </c>
      <c r="K423" s="3">
        <v>150000</v>
      </c>
      <c r="L423" s="3">
        <v>180000</v>
      </c>
      <c r="M423" s="3">
        <v>30000</v>
      </c>
      <c r="N423" s="1">
        <v>0</v>
      </c>
      <c r="O423" s="1">
        <v>1</v>
      </c>
      <c r="P423" s="1">
        <v>1</v>
      </c>
      <c r="Q423" s="3">
        <v>190000</v>
      </c>
      <c r="R423" s="3"/>
      <c r="S423" s="3">
        <v>-147300</v>
      </c>
      <c r="T423" s="1">
        <v>5.1945199999999998</v>
      </c>
      <c r="U423" s="3"/>
      <c r="V423" s="3"/>
      <c r="X423" s="1">
        <v>-147300</v>
      </c>
      <c r="Y423" s="22">
        <v>5.1945199999999998</v>
      </c>
      <c r="Z423" s="4">
        <f>Table1[[#This Row],[totalTimeKept]]*$AD$3</f>
        <v>77917.8</v>
      </c>
      <c r="AA423" s="4">
        <f>Y423-Z423</f>
        <v>-77912.605479999998</v>
      </c>
    </row>
    <row r="424" spans="1:27" x14ac:dyDescent="0.3">
      <c r="A424" s="1">
        <v>9913654</v>
      </c>
      <c r="B424" s="1" t="s">
        <v>745</v>
      </c>
      <c r="C424" s="1" t="s">
        <v>22</v>
      </c>
      <c r="D424" s="1">
        <v>1433178</v>
      </c>
      <c r="E424" s="1">
        <v>38900</v>
      </c>
      <c r="F424" s="1" t="s">
        <v>25</v>
      </c>
      <c r="G424" s="1" t="s">
        <v>139</v>
      </c>
      <c r="H424" s="2">
        <v>42095</v>
      </c>
      <c r="I424" s="1" t="s">
        <v>25</v>
      </c>
      <c r="J424" s="2">
        <v>43408</v>
      </c>
      <c r="K424" s="3"/>
      <c r="L424" s="3">
        <v>550000</v>
      </c>
      <c r="M424" s="3">
        <v>550000</v>
      </c>
      <c r="N424" s="1">
        <v>1</v>
      </c>
      <c r="O424" s="1">
        <v>0</v>
      </c>
      <c r="P424" s="1">
        <v>1</v>
      </c>
      <c r="Q424" s="3"/>
      <c r="R424" s="3"/>
      <c r="S424" s="3">
        <v>588900</v>
      </c>
      <c r="T424" s="1">
        <v>3.5972599999999999</v>
      </c>
      <c r="U424" s="3"/>
      <c r="V424" s="3"/>
      <c r="X424" s="1">
        <v>588900</v>
      </c>
      <c r="Y424" s="22">
        <v>3.5972599999999999</v>
      </c>
      <c r="Z424" s="4">
        <f>Table1[[#This Row],[totalTimeKept]]*$AD$3</f>
        <v>53958.9</v>
      </c>
      <c r="AA424" s="4">
        <f>Y424-Z424</f>
        <v>-53955.302739999999</v>
      </c>
    </row>
    <row r="425" spans="1:27" x14ac:dyDescent="0.3">
      <c r="A425" s="1">
        <v>9913662</v>
      </c>
      <c r="B425" s="1" t="s">
        <v>746</v>
      </c>
      <c r="C425" s="1" t="s">
        <v>201</v>
      </c>
      <c r="D425" s="1">
        <v>7742433</v>
      </c>
      <c r="E425" s="1">
        <v>0</v>
      </c>
      <c r="F425" s="1" t="s">
        <v>25</v>
      </c>
      <c r="G425" s="1" t="s">
        <v>25</v>
      </c>
      <c r="H425" s="2">
        <v>42100</v>
      </c>
      <c r="I425" s="2" t="s">
        <v>25</v>
      </c>
      <c r="J425" s="2" t="s">
        <v>25</v>
      </c>
      <c r="K425" s="3"/>
      <c r="L425" s="3"/>
      <c r="M425" s="3">
        <v>0</v>
      </c>
      <c r="N425" s="1">
        <v>1</v>
      </c>
      <c r="P425" s="1">
        <v>0</v>
      </c>
      <c r="Q425" s="3"/>
      <c r="R425" s="3"/>
      <c r="S425" s="3">
        <v>0</v>
      </c>
      <c r="T425" s="1">
        <v>9.8767130000000005</v>
      </c>
      <c r="U425" s="3"/>
      <c r="V425" s="3"/>
      <c r="X425" s="1">
        <v>0</v>
      </c>
      <c r="Y425" s="22">
        <v>9.8767130000000005</v>
      </c>
      <c r="Z425" s="4">
        <f>Table1[[#This Row],[totalTimeKept]]*$AD$3</f>
        <v>148150.69500000001</v>
      </c>
      <c r="AA425" s="4">
        <f>Y425-Z425</f>
        <v>-148140.818287</v>
      </c>
    </row>
    <row r="426" spans="1:27" x14ac:dyDescent="0.3">
      <c r="A426" s="1">
        <v>9913672</v>
      </c>
      <c r="B426" s="1" t="s">
        <v>747</v>
      </c>
      <c r="C426" s="1" t="s">
        <v>87</v>
      </c>
      <c r="D426" s="1">
        <v>6106367</v>
      </c>
      <c r="E426" s="1">
        <v>0</v>
      </c>
      <c r="F426" s="1" t="s">
        <v>25</v>
      </c>
      <c r="G426" s="1" t="s">
        <v>349</v>
      </c>
      <c r="H426" s="2">
        <v>42108</v>
      </c>
      <c r="I426" s="1" t="s">
        <v>25</v>
      </c>
      <c r="J426" s="2">
        <v>42310</v>
      </c>
      <c r="K426" s="3"/>
      <c r="L426" s="3">
        <v>150000</v>
      </c>
      <c r="M426" s="3">
        <v>150000</v>
      </c>
      <c r="N426" s="1">
        <v>1</v>
      </c>
      <c r="O426" s="1">
        <v>0</v>
      </c>
      <c r="P426" s="1">
        <v>1</v>
      </c>
      <c r="Q426" s="3"/>
      <c r="R426" s="3"/>
      <c r="S426" s="3">
        <v>150000</v>
      </c>
      <c r="T426" s="1">
        <v>0.55342469999999999</v>
      </c>
      <c r="U426" s="3"/>
      <c r="V426" s="3"/>
      <c r="X426" s="1">
        <v>150000</v>
      </c>
      <c r="Y426" s="22">
        <v>0.55342469999999999</v>
      </c>
      <c r="Z426" s="4">
        <f>Table1[[#This Row],[totalTimeKept]]*$AD$3</f>
        <v>8301.3704999999991</v>
      </c>
      <c r="AA426" s="4">
        <f>Y426-Z426</f>
        <v>-8300.8170752999995</v>
      </c>
    </row>
    <row r="427" spans="1:27" x14ac:dyDescent="0.3">
      <c r="A427" s="1">
        <v>9913690</v>
      </c>
      <c r="B427" s="1" t="s">
        <v>748</v>
      </c>
      <c r="C427" s="1" t="s">
        <v>34</v>
      </c>
      <c r="D427" s="1">
        <v>4035517</v>
      </c>
      <c r="E427" s="1">
        <v>0</v>
      </c>
      <c r="F427" s="1" t="s">
        <v>25</v>
      </c>
      <c r="G427" s="1" t="s">
        <v>46</v>
      </c>
      <c r="H427" s="2">
        <v>42114</v>
      </c>
      <c r="I427" s="1" t="s">
        <v>25</v>
      </c>
      <c r="J427" s="2">
        <v>42631</v>
      </c>
      <c r="K427" s="3"/>
      <c r="L427" s="3">
        <v>22000</v>
      </c>
      <c r="M427" s="3">
        <v>22000</v>
      </c>
      <c r="N427" s="1">
        <v>1</v>
      </c>
      <c r="O427" s="1">
        <v>0</v>
      </c>
      <c r="P427" s="1">
        <v>1</v>
      </c>
      <c r="Q427" s="3"/>
      <c r="R427" s="3"/>
      <c r="S427" s="3">
        <v>22000</v>
      </c>
      <c r="T427" s="1">
        <v>1.4164380000000001</v>
      </c>
      <c r="U427" s="3"/>
      <c r="V427" s="3"/>
      <c r="X427" s="1">
        <v>22000</v>
      </c>
      <c r="Y427" s="22">
        <v>1.4164380000000001</v>
      </c>
      <c r="Z427" s="4">
        <f>Table1[[#This Row],[totalTimeKept]]*$AD$3</f>
        <v>21246.57</v>
      </c>
      <c r="AA427" s="4">
        <f>Y427-Z427</f>
        <v>-21245.153562</v>
      </c>
    </row>
    <row r="428" spans="1:27" x14ac:dyDescent="0.3">
      <c r="A428" s="1">
        <v>9913696</v>
      </c>
      <c r="B428" s="1" t="s">
        <v>749</v>
      </c>
      <c r="C428" s="1" t="s">
        <v>596</v>
      </c>
      <c r="D428" s="1">
        <v>7108794</v>
      </c>
      <c r="E428" s="1">
        <v>0</v>
      </c>
      <c r="F428" s="1" t="s">
        <v>25</v>
      </c>
      <c r="G428" s="1" t="s">
        <v>46</v>
      </c>
      <c r="H428" s="2">
        <v>42114</v>
      </c>
      <c r="I428" s="1" t="s">
        <v>25</v>
      </c>
      <c r="J428" s="2">
        <v>42409</v>
      </c>
      <c r="K428" s="3"/>
      <c r="L428" s="3">
        <v>7000</v>
      </c>
      <c r="M428" s="3">
        <v>7000</v>
      </c>
      <c r="N428" s="1">
        <v>1</v>
      </c>
      <c r="O428" s="1">
        <v>0</v>
      </c>
      <c r="P428" s="1">
        <v>1</v>
      </c>
      <c r="Q428" s="3"/>
      <c r="R428" s="3"/>
      <c r="S428" s="3">
        <v>7000</v>
      </c>
      <c r="T428" s="1">
        <v>0.80821920000000003</v>
      </c>
      <c r="U428" s="3"/>
      <c r="V428" s="3"/>
      <c r="X428" s="1">
        <v>7000</v>
      </c>
      <c r="Y428" s="22">
        <v>0.80821920000000003</v>
      </c>
      <c r="Z428" s="4">
        <f>Table1[[#This Row],[totalTimeKept]]*$AD$3</f>
        <v>12123.288</v>
      </c>
      <c r="AA428" s="4">
        <f>Y428-Z428</f>
        <v>-12122.4797808</v>
      </c>
    </row>
    <row r="429" spans="1:27" x14ac:dyDescent="0.3">
      <c r="A429" s="1">
        <v>9913705</v>
      </c>
      <c r="B429" s="1" t="s">
        <v>750</v>
      </c>
      <c r="C429" s="1" t="s">
        <v>59</v>
      </c>
      <c r="D429" s="1">
        <v>4670644</v>
      </c>
      <c r="E429" s="1">
        <v>0</v>
      </c>
      <c r="F429" s="1" t="s">
        <v>25</v>
      </c>
      <c r="G429" s="1" t="s">
        <v>46</v>
      </c>
      <c r="H429" s="2">
        <v>42123</v>
      </c>
      <c r="I429" s="1" t="s">
        <v>25</v>
      </c>
      <c r="J429" s="2">
        <v>42408</v>
      </c>
      <c r="K429" s="3"/>
      <c r="L429" s="3">
        <v>2000</v>
      </c>
      <c r="M429" s="3">
        <v>2000</v>
      </c>
      <c r="N429" s="1">
        <v>1</v>
      </c>
      <c r="O429" s="1">
        <v>0</v>
      </c>
      <c r="P429" s="1">
        <v>1</v>
      </c>
      <c r="Q429" s="3"/>
      <c r="R429" s="3"/>
      <c r="S429" s="3">
        <v>2000</v>
      </c>
      <c r="T429" s="1">
        <v>0.78082189999999996</v>
      </c>
      <c r="U429" s="3"/>
      <c r="V429" s="3"/>
      <c r="X429" s="1">
        <v>2000</v>
      </c>
      <c r="Y429" s="22">
        <v>0.78082189999999996</v>
      </c>
      <c r="Z429" s="4">
        <f>Table1[[#This Row],[totalTimeKept]]*$AD$3</f>
        <v>11712.3285</v>
      </c>
      <c r="AA429" s="4">
        <f>Y429-Z429</f>
        <v>-11711.5476781</v>
      </c>
    </row>
    <row r="430" spans="1:27" x14ac:dyDescent="0.3">
      <c r="A430" s="1">
        <v>9919567</v>
      </c>
      <c r="B430" s="1" t="s">
        <v>751</v>
      </c>
      <c r="C430" s="1" t="s">
        <v>73</v>
      </c>
      <c r="D430" s="1">
        <v>5326184</v>
      </c>
      <c r="E430" s="1">
        <v>0</v>
      </c>
      <c r="F430" s="1" t="s">
        <v>25</v>
      </c>
      <c r="G430" s="1" t="s">
        <v>25</v>
      </c>
      <c r="H430" s="2">
        <v>42141</v>
      </c>
      <c r="I430" s="1" t="s">
        <v>25</v>
      </c>
      <c r="J430" s="2" t="s">
        <v>25</v>
      </c>
      <c r="K430" s="3"/>
      <c r="L430" s="3"/>
      <c r="M430" s="3">
        <v>0</v>
      </c>
      <c r="N430" s="1">
        <v>1</v>
      </c>
      <c r="P430" s="1">
        <v>0</v>
      </c>
      <c r="Q430" s="3"/>
      <c r="R430" s="3"/>
      <c r="S430" s="3">
        <v>0</v>
      </c>
      <c r="T430" s="1">
        <v>9.7643830000000005</v>
      </c>
      <c r="U430" s="3"/>
      <c r="V430" s="3"/>
      <c r="X430" s="1">
        <v>0</v>
      </c>
      <c r="Y430" s="22">
        <v>9.7643830000000005</v>
      </c>
      <c r="Z430" s="4">
        <f>Table1[[#This Row],[totalTimeKept]]*$AD$3</f>
        <v>146465.745</v>
      </c>
      <c r="AA430" s="4">
        <f>Y430-Z430</f>
        <v>-146455.98061699999</v>
      </c>
    </row>
    <row r="431" spans="1:27" x14ac:dyDescent="0.3">
      <c r="A431" s="1">
        <v>9935018</v>
      </c>
      <c r="B431" s="1" t="s">
        <v>752</v>
      </c>
      <c r="C431" s="1" t="s">
        <v>753</v>
      </c>
      <c r="D431" s="1">
        <v>4970893</v>
      </c>
      <c r="E431" s="1">
        <v>0</v>
      </c>
      <c r="F431" s="1" t="s">
        <v>24</v>
      </c>
      <c r="G431" s="1" t="s">
        <v>24</v>
      </c>
      <c r="H431" s="2">
        <v>42085</v>
      </c>
      <c r="I431" s="2">
        <v>43409</v>
      </c>
      <c r="J431" s="2">
        <v>43778</v>
      </c>
      <c r="K431" s="3">
        <v>220000</v>
      </c>
      <c r="L431" s="3">
        <v>95000</v>
      </c>
      <c r="M431" s="3">
        <v>-125000</v>
      </c>
      <c r="N431" s="1">
        <v>0</v>
      </c>
      <c r="O431" s="1">
        <v>1</v>
      </c>
      <c r="P431" s="1">
        <v>1</v>
      </c>
      <c r="Q431" s="3">
        <v>0</v>
      </c>
      <c r="R431" s="3"/>
      <c r="S431" s="3">
        <v>-125000</v>
      </c>
      <c r="T431" s="1">
        <v>1.0109589999999999</v>
      </c>
      <c r="U431" s="3">
        <v>36450</v>
      </c>
      <c r="V431" s="3">
        <v>0</v>
      </c>
      <c r="W431" s="1">
        <v>5.9095890000000004</v>
      </c>
      <c r="X431" s="1">
        <v>-88550</v>
      </c>
      <c r="Y431" s="22">
        <v>6.920547</v>
      </c>
      <c r="Z431" s="4">
        <f>Table1[[#This Row],[totalTimeKept]]*$AD$3</f>
        <v>103808.205</v>
      </c>
      <c r="AA431" s="4">
        <f>Y431-Z431</f>
        <v>-103801.284453</v>
      </c>
    </row>
    <row r="432" spans="1:27" x14ac:dyDescent="0.3">
      <c r="A432" s="1">
        <v>9935318</v>
      </c>
      <c r="B432" s="1" t="s">
        <v>754</v>
      </c>
      <c r="C432" s="1" t="s">
        <v>755</v>
      </c>
      <c r="D432" s="1">
        <v>8695891</v>
      </c>
      <c r="E432" s="1">
        <v>0</v>
      </c>
      <c r="F432" s="1" t="s">
        <v>139</v>
      </c>
      <c r="G432" s="1" t="s">
        <v>25</v>
      </c>
      <c r="H432" s="2">
        <v>42093</v>
      </c>
      <c r="I432" s="2">
        <v>43779</v>
      </c>
      <c r="J432" s="2" t="s">
        <v>25</v>
      </c>
      <c r="K432" s="3">
        <v>50000</v>
      </c>
      <c r="L432" s="3"/>
      <c r="M432" s="3">
        <v>-50000</v>
      </c>
      <c r="N432" s="1">
        <v>0</v>
      </c>
      <c r="O432" s="1">
        <v>1</v>
      </c>
      <c r="P432" s="1">
        <v>0</v>
      </c>
      <c r="Q432" s="3">
        <v>0</v>
      </c>
      <c r="R432" s="3"/>
      <c r="S432" s="3">
        <v>-50000</v>
      </c>
      <c r="T432" s="1">
        <v>5.2767119999999998</v>
      </c>
      <c r="U432" s="3"/>
      <c r="V432" s="3"/>
      <c r="X432" s="1">
        <v>-50000</v>
      </c>
      <c r="Y432" s="22">
        <v>5.2767119999999998</v>
      </c>
      <c r="Z432" s="4">
        <f>Table1[[#This Row],[totalTimeKept]]*$AD$3</f>
        <v>79150.679999999993</v>
      </c>
      <c r="AA432" s="4">
        <f>Y432-Z432</f>
        <v>-79145.403287999987</v>
      </c>
    </row>
    <row r="433" spans="1:27" x14ac:dyDescent="0.3">
      <c r="A433" s="1">
        <v>9942610</v>
      </c>
      <c r="B433" s="1" t="s">
        <v>756</v>
      </c>
      <c r="C433" s="1" t="s">
        <v>63</v>
      </c>
      <c r="D433" s="1">
        <v>5014355</v>
      </c>
      <c r="E433" s="1">
        <v>44600</v>
      </c>
      <c r="F433" s="1" t="s">
        <v>25</v>
      </c>
      <c r="G433" s="1" t="s">
        <v>24</v>
      </c>
      <c r="H433" s="2">
        <v>42117</v>
      </c>
      <c r="I433" s="2" t="s">
        <v>25</v>
      </c>
      <c r="J433" s="2">
        <v>44145</v>
      </c>
      <c r="K433" s="3"/>
      <c r="L433" s="3">
        <v>560000</v>
      </c>
      <c r="M433" s="3">
        <v>560000</v>
      </c>
      <c r="N433" s="1">
        <v>1</v>
      </c>
      <c r="O433" s="1">
        <v>0</v>
      </c>
      <c r="P433" s="1">
        <v>1</v>
      </c>
      <c r="Q433" s="3">
        <v>150000</v>
      </c>
      <c r="R433" s="3"/>
      <c r="S433" s="3">
        <v>454600</v>
      </c>
      <c r="T433" s="1">
        <v>5.5561639999999999</v>
      </c>
      <c r="U433" s="3">
        <v>22000</v>
      </c>
      <c r="V433" s="3">
        <v>0</v>
      </c>
      <c r="W433" s="1">
        <v>1.520548</v>
      </c>
      <c r="X433" s="1">
        <v>476600</v>
      </c>
      <c r="Y433" s="22">
        <v>7.0767119999999997</v>
      </c>
      <c r="Z433" s="4">
        <f>Table1[[#This Row],[totalTimeKept]]*$AD$3</f>
        <v>106150.68</v>
      </c>
      <c r="AA433" s="4">
        <f>Y433-Z433</f>
        <v>-106143.603288</v>
      </c>
    </row>
    <row r="434" spans="1:27" x14ac:dyDescent="0.3">
      <c r="A434" s="1">
        <v>9942614</v>
      </c>
      <c r="B434" s="1" t="s">
        <v>757</v>
      </c>
      <c r="C434" s="1" t="s">
        <v>83</v>
      </c>
      <c r="D434" s="1">
        <v>6045403</v>
      </c>
      <c r="E434" s="1">
        <v>0</v>
      </c>
      <c r="F434" s="1" t="s">
        <v>25</v>
      </c>
      <c r="G434" s="1" t="s">
        <v>46</v>
      </c>
      <c r="H434" s="2">
        <v>42129</v>
      </c>
      <c r="I434" s="1" t="s">
        <v>25</v>
      </c>
      <c r="J434" s="2">
        <v>42630</v>
      </c>
      <c r="K434" s="3"/>
      <c r="L434" s="3">
        <v>35000</v>
      </c>
      <c r="M434" s="3">
        <v>35000</v>
      </c>
      <c r="N434" s="1">
        <v>1</v>
      </c>
      <c r="O434" s="1">
        <v>0</v>
      </c>
      <c r="P434" s="1">
        <v>1</v>
      </c>
      <c r="Q434" s="3"/>
      <c r="R434" s="3"/>
      <c r="S434" s="3">
        <v>35000</v>
      </c>
      <c r="T434" s="1">
        <v>1.372603</v>
      </c>
      <c r="U434" s="3"/>
      <c r="V434" s="3"/>
      <c r="X434" s="1">
        <v>35000</v>
      </c>
      <c r="Y434" s="22">
        <v>1.372603</v>
      </c>
      <c r="Z434" s="4">
        <f>Table1[[#This Row],[totalTimeKept]]*$AD$3</f>
        <v>20589.045000000002</v>
      </c>
      <c r="AA434" s="4">
        <f>Y434-Z434</f>
        <v>-20587.672397000002</v>
      </c>
    </row>
    <row r="435" spans="1:27" x14ac:dyDescent="0.3">
      <c r="A435" s="1">
        <v>9942615</v>
      </c>
      <c r="B435" s="1" t="s">
        <v>758</v>
      </c>
      <c r="C435" s="1" t="s">
        <v>157</v>
      </c>
      <c r="D435" s="1">
        <v>7415009</v>
      </c>
      <c r="E435" s="1">
        <v>0</v>
      </c>
      <c r="F435" s="1" t="s">
        <v>25</v>
      </c>
      <c r="G435" s="1" t="s">
        <v>46</v>
      </c>
      <c r="H435" s="2">
        <v>42136</v>
      </c>
      <c r="I435" s="1" t="s">
        <v>25</v>
      </c>
      <c r="J435" s="2">
        <v>42408</v>
      </c>
      <c r="K435" s="3"/>
      <c r="L435" s="3">
        <v>1200</v>
      </c>
      <c r="M435" s="3">
        <v>1200</v>
      </c>
      <c r="N435" s="1">
        <v>1</v>
      </c>
      <c r="O435" s="1">
        <v>0</v>
      </c>
      <c r="P435" s="1">
        <v>1</v>
      </c>
      <c r="Q435" s="3"/>
      <c r="R435" s="3"/>
      <c r="S435" s="3">
        <v>1200</v>
      </c>
      <c r="T435" s="1">
        <v>0.74520549999999997</v>
      </c>
      <c r="U435" s="3"/>
      <c r="V435" s="3"/>
      <c r="X435" s="1">
        <v>1200</v>
      </c>
      <c r="Y435" s="22">
        <v>0.74520549999999997</v>
      </c>
      <c r="Z435" s="4">
        <f>Table1[[#This Row],[totalTimeKept]]*$AD$3</f>
        <v>11178.082499999999</v>
      </c>
      <c r="AA435" s="4">
        <f>Y435-Z435</f>
        <v>-11177.337294499999</v>
      </c>
    </row>
    <row r="436" spans="1:27" x14ac:dyDescent="0.3">
      <c r="A436" s="1">
        <v>9949603</v>
      </c>
      <c r="B436" s="1" t="s">
        <v>759</v>
      </c>
      <c r="C436" s="1" t="s">
        <v>760</v>
      </c>
      <c r="D436" s="1">
        <v>8904112</v>
      </c>
      <c r="E436" s="1">
        <v>0</v>
      </c>
      <c r="F436" s="1" t="s">
        <v>24</v>
      </c>
      <c r="G436" s="1" t="s">
        <v>24</v>
      </c>
      <c r="H436" s="2">
        <v>42064</v>
      </c>
      <c r="I436" s="2">
        <v>43776</v>
      </c>
      <c r="J436" s="2">
        <v>44899</v>
      </c>
      <c r="K436" s="3">
        <v>150000</v>
      </c>
      <c r="L436" s="3">
        <v>42123</v>
      </c>
      <c r="M436" s="3">
        <v>-107877</v>
      </c>
      <c r="N436" s="1">
        <v>0</v>
      </c>
      <c r="O436" s="1">
        <v>1</v>
      </c>
      <c r="P436" s="1">
        <v>1</v>
      </c>
      <c r="Q436" s="3">
        <v>33746.230000000003</v>
      </c>
      <c r="R436" s="3"/>
      <c r="S436" s="3">
        <v>-141623.20000000001</v>
      </c>
      <c r="T436" s="1">
        <v>3.0767120000000001</v>
      </c>
      <c r="U436" s="3">
        <v>54995</v>
      </c>
      <c r="V436" s="3">
        <v>0</v>
      </c>
      <c r="W436" s="1">
        <v>1.572603</v>
      </c>
      <c r="X436" s="1">
        <v>-86628.23</v>
      </c>
      <c r="Y436" s="22">
        <v>4.6493149999999996</v>
      </c>
      <c r="Z436" s="4">
        <f>Table1[[#This Row],[totalTimeKept]]*$AD$3</f>
        <v>69739.724999999991</v>
      </c>
      <c r="AA436" s="4">
        <f>Y436-Z436</f>
        <v>-69735.075684999989</v>
      </c>
    </row>
    <row r="437" spans="1:27" x14ac:dyDescent="0.3">
      <c r="A437" s="1">
        <v>10036118</v>
      </c>
      <c r="B437" s="1" t="s">
        <v>761</v>
      </c>
      <c r="C437" s="1" t="s">
        <v>762</v>
      </c>
      <c r="D437" s="1">
        <v>8932835</v>
      </c>
      <c r="E437" s="1">
        <v>0</v>
      </c>
      <c r="F437" s="1" t="s">
        <v>25</v>
      </c>
      <c r="G437" s="1" t="s">
        <v>349</v>
      </c>
      <c r="H437" s="2">
        <v>42386</v>
      </c>
      <c r="I437" s="1" t="s">
        <v>25</v>
      </c>
      <c r="J437" s="2">
        <v>42684</v>
      </c>
      <c r="K437" s="3"/>
      <c r="L437" s="3">
        <v>15000</v>
      </c>
      <c r="M437" s="3">
        <v>15000</v>
      </c>
      <c r="N437" s="1">
        <v>1</v>
      </c>
      <c r="O437" s="1">
        <v>0</v>
      </c>
      <c r="P437" s="1">
        <v>1</v>
      </c>
      <c r="Q437" s="3"/>
      <c r="R437" s="3"/>
      <c r="S437" s="3">
        <v>15000</v>
      </c>
      <c r="T437" s="1">
        <v>0.81643840000000001</v>
      </c>
      <c r="U437" s="3"/>
      <c r="V437" s="3"/>
      <c r="X437" s="1">
        <v>15000</v>
      </c>
      <c r="Y437" s="22">
        <v>0.81643840000000001</v>
      </c>
      <c r="Z437" s="4">
        <f>Table1[[#This Row],[totalTimeKept]]*$AD$3</f>
        <v>12246.576000000001</v>
      </c>
      <c r="AA437" s="4">
        <f>Y437-Z437</f>
        <v>-12245.759561600002</v>
      </c>
    </row>
    <row r="438" spans="1:27" x14ac:dyDescent="0.3">
      <c r="A438" s="1">
        <v>10040146</v>
      </c>
      <c r="B438" s="1" t="s">
        <v>763</v>
      </c>
      <c r="C438" s="1" t="s">
        <v>282</v>
      </c>
      <c r="D438" s="1">
        <v>8372016</v>
      </c>
      <c r="E438" s="1">
        <v>0</v>
      </c>
      <c r="F438" s="1" t="s">
        <v>25</v>
      </c>
      <c r="G438" s="1" t="s">
        <v>349</v>
      </c>
      <c r="H438" s="2">
        <v>42398</v>
      </c>
      <c r="I438" s="1" t="s">
        <v>25</v>
      </c>
      <c r="J438" s="2">
        <v>42684</v>
      </c>
      <c r="K438" s="3"/>
      <c r="L438" s="3">
        <v>140000</v>
      </c>
      <c r="M438" s="3">
        <v>140000</v>
      </c>
      <c r="N438" s="1">
        <v>1</v>
      </c>
      <c r="O438" s="1">
        <v>0</v>
      </c>
      <c r="P438" s="1">
        <v>1</v>
      </c>
      <c r="Q438" s="3"/>
      <c r="R438" s="3"/>
      <c r="S438" s="3">
        <v>140000</v>
      </c>
      <c r="T438" s="1">
        <v>0.78356159999999997</v>
      </c>
      <c r="U438" s="3"/>
      <c r="V438" s="3"/>
      <c r="X438" s="1">
        <v>140000</v>
      </c>
      <c r="Y438" s="22">
        <v>0.78356159999999997</v>
      </c>
      <c r="Z438" s="4">
        <f>Table1[[#This Row],[totalTimeKept]]*$AD$3</f>
        <v>11753.423999999999</v>
      </c>
      <c r="AA438" s="4">
        <f>Y438-Z438</f>
        <v>-11752.6404384</v>
      </c>
    </row>
    <row r="439" spans="1:27" x14ac:dyDescent="0.3">
      <c r="A439" s="1">
        <v>10045134</v>
      </c>
      <c r="B439" s="1" t="s">
        <v>764</v>
      </c>
      <c r="C439" s="1" t="s">
        <v>765</v>
      </c>
      <c r="D439" s="1">
        <v>5168942</v>
      </c>
      <c r="E439" s="1">
        <v>0</v>
      </c>
      <c r="F439" s="1" t="s">
        <v>24</v>
      </c>
      <c r="G439" s="1" t="s">
        <v>24</v>
      </c>
      <c r="H439" s="2">
        <v>42401</v>
      </c>
      <c r="I439" s="2">
        <v>43779</v>
      </c>
      <c r="J439" s="2">
        <v>44534</v>
      </c>
      <c r="K439" s="3">
        <v>90000</v>
      </c>
      <c r="L439" s="3">
        <v>45241</v>
      </c>
      <c r="M439" s="3">
        <v>-44759</v>
      </c>
      <c r="N439" s="1">
        <v>0</v>
      </c>
      <c r="O439" s="1">
        <v>1</v>
      </c>
      <c r="P439" s="1">
        <v>1</v>
      </c>
      <c r="Q439" s="3">
        <v>20000</v>
      </c>
      <c r="R439" s="3"/>
      <c r="S439" s="3">
        <v>-64759</v>
      </c>
      <c r="T439" s="1">
        <v>2.0684930000000001</v>
      </c>
      <c r="U439" s="3">
        <v>50000</v>
      </c>
      <c r="V439" s="3">
        <v>0</v>
      </c>
      <c r="W439" s="1">
        <v>0.74794519999999998</v>
      </c>
      <c r="X439" s="1">
        <v>-14759</v>
      </c>
      <c r="Y439" s="22">
        <v>2.8164380000000002</v>
      </c>
      <c r="Z439" s="4">
        <f>Table1[[#This Row],[totalTimeKept]]*$AD$3</f>
        <v>42246.57</v>
      </c>
      <c r="AA439" s="4">
        <f>Y439-Z439</f>
        <v>-42243.753561999998</v>
      </c>
    </row>
    <row r="440" spans="1:27" x14ac:dyDescent="0.3">
      <c r="A440" s="1">
        <v>10045178</v>
      </c>
      <c r="B440" s="1" t="s">
        <v>766</v>
      </c>
      <c r="C440" s="1" t="s">
        <v>384</v>
      </c>
      <c r="D440" s="1">
        <v>8877601</v>
      </c>
      <c r="E440" s="1">
        <v>0</v>
      </c>
      <c r="F440" s="1" t="s">
        <v>25</v>
      </c>
      <c r="G440" s="1" t="s">
        <v>349</v>
      </c>
      <c r="H440" s="2">
        <v>42390</v>
      </c>
      <c r="I440" s="1" t="s">
        <v>25</v>
      </c>
      <c r="J440" s="2">
        <v>42684</v>
      </c>
      <c r="K440" s="3"/>
      <c r="L440" s="3">
        <v>220000</v>
      </c>
      <c r="M440" s="3">
        <v>220000</v>
      </c>
      <c r="N440" s="1">
        <v>1</v>
      </c>
      <c r="O440" s="1">
        <v>0</v>
      </c>
      <c r="P440" s="1">
        <v>1</v>
      </c>
      <c r="Q440" s="3"/>
      <c r="R440" s="3"/>
      <c r="S440" s="3">
        <v>220000</v>
      </c>
      <c r="T440" s="1">
        <v>0.80547950000000001</v>
      </c>
      <c r="U440" s="3"/>
      <c r="V440" s="3"/>
      <c r="X440" s="1">
        <v>220000</v>
      </c>
      <c r="Y440" s="22">
        <v>0.80547950000000001</v>
      </c>
      <c r="Z440" s="4">
        <f>Table1[[#This Row],[totalTimeKept]]*$AD$3</f>
        <v>12082.192500000001</v>
      </c>
      <c r="AA440" s="4">
        <f>Y440-Z440</f>
        <v>-12081.3870205</v>
      </c>
    </row>
    <row r="441" spans="1:27" x14ac:dyDescent="0.3">
      <c r="A441" s="1">
        <v>10046191</v>
      </c>
      <c r="B441" s="1" t="s">
        <v>767</v>
      </c>
      <c r="C441" s="1" t="s">
        <v>350</v>
      </c>
      <c r="D441" s="1">
        <v>8839521</v>
      </c>
      <c r="E441" s="1">
        <v>0</v>
      </c>
      <c r="F441" s="1" t="s">
        <v>25</v>
      </c>
      <c r="G441" s="1" t="s">
        <v>349</v>
      </c>
      <c r="H441" s="2">
        <v>42406</v>
      </c>
      <c r="I441" s="1" t="s">
        <v>25</v>
      </c>
      <c r="J441" s="2">
        <v>42684</v>
      </c>
      <c r="K441" s="3"/>
      <c r="L441" s="3">
        <v>45000</v>
      </c>
      <c r="M441" s="3">
        <v>45000</v>
      </c>
      <c r="N441" s="1">
        <v>1</v>
      </c>
      <c r="O441" s="1">
        <v>0</v>
      </c>
      <c r="P441" s="1">
        <v>1</v>
      </c>
      <c r="Q441" s="3"/>
      <c r="R441" s="3"/>
      <c r="S441" s="3">
        <v>45000</v>
      </c>
      <c r="T441" s="1">
        <v>0.76164379999999998</v>
      </c>
      <c r="U441" s="3"/>
      <c r="V441" s="3"/>
      <c r="X441" s="1">
        <v>45000</v>
      </c>
      <c r="Y441" s="22">
        <v>0.76164379999999998</v>
      </c>
      <c r="Z441" s="4">
        <f>Table1[[#This Row],[totalTimeKept]]*$AD$3</f>
        <v>11424.656999999999</v>
      </c>
      <c r="AA441" s="4">
        <f>Y441-Z441</f>
        <v>-11423.895356199999</v>
      </c>
    </row>
    <row r="442" spans="1:27" x14ac:dyDescent="0.3">
      <c r="A442" s="1">
        <v>10049819</v>
      </c>
      <c r="B442" s="1" t="s">
        <v>768</v>
      </c>
      <c r="C442" s="1" t="s">
        <v>769</v>
      </c>
      <c r="D442" s="1">
        <v>8826844</v>
      </c>
      <c r="E442" s="1">
        <v>0</v>
      </c>
      <c r="F442" s="1" t="s">
        <v>139</v>
      </c>
      <c r="G442" s="1" t="s">
        <v>24</v>
      </c>
      <c r="H442" s="2">
        <v>42412</v>
      </c>
      <c r="I442" s="2">
        <v>44509</v>
      </c>
      <c r="J442" s="2">
        <v>44874</v>
      </c>
      <c r="K442" s="3">
        <v>275000</v>
      </c>
      <c r="L442" s="3">
        <v>1000000</v>
      </c>
      <c r="M442" s="3">
        <v>725000</v>
      </c>
      <c r="N442" s="1">
        <v>0</v>
      </c>
      <c r="O442" s="1">
        <v>1</v>
      </c>
      <c r="P442" s="1">
        <v>1</v>
      </c>
      <c r="Q442" s="3"/>
      <c r="R442" s="3"/>
      <c r="S442" s="3">
        <v>725000</v>
      </c>
      <c r="T442" s="1">
        <v>1</v>
      </c>
      <c r="U442" s="3"/>
      <c r="V442" s="3"/>
      <c r="X442" s="1">
        <v>725000</v>
      </c>
      <c r="Y442" s="22">
        <v>1</v>
      </c>
      <c r="Z442" s="4">
        <f>Table1[[#This Row],[totalTimeKept]]*$AD$3</f>
        <v>15000</v>
      </c>
      <c r="AA442" s="4">
        <f>Y442-Z442</f>
        <v>-14999</v>
      </c>
    </row>
    <row r="443" spans="1:27" x14ac:dyDescent="0.3">
      <c r="A443" s="1">
        <v>10050652</v>
      </c>
      <c r="B443" s="1" t="s">
        <v>770</v>
      </c>
      <c r="C443" s="1" t="s">
        <v>771</v>
      </c>
      <c r="D443" s="1">
        <v>8310072</v>
      </c>
      <c r="E443" s="1">
        <v>0</v>
      </c>
      <c r="F443" s="1" t="s">
        <v>25</v>
      </c>
      <c r="G443" s="1" t="s">
        <v>349</v>
      </c>
      <c r="H443" s="2">
        <v>42413</v>
      </c>
      <c r="I443" s="1" t="s">
        <v>25</v>
      </c>
      <c r="J443" s="2">
        <v>42689</v>
      </c>
      <c r="K443" s="3"/>
      <c r="L443" s="3">
        <v>40000</v>
      </c>
      <c r="M443" s="3">
        <v>40000</v>
      </c>
      <c r="N443" s="1">
        <v>1</v>
      </c>
      <c r="O443" s="1">
        <v>0</v>
      </c>
      <c r="P443" s="1">
        <v>1</v>
      </c>
      <c r="Q443" s="3"/>
      <c r="R443" s="3"/>
      <c r="S443" s="3">
        <v>40000</v>
      </c>
      <c r="T443" s="1">
        <v>0.75616439999999996</v>
      </c>
      <c r="U443" s="3"/>
      <c r="V443" s="3"/>
      <c r="X443" s="1">
        <v>40000</v>
      </c>
      <c r="Y443" s="22">
        <v>0.75616439999999996</v>
      </c>
      <c r="Z443" s="4">
        <f>Table1[[#This Row],[totalTimeKept]]*$AD$3</f>
        <v>11342.465999999999</v>
      </c>
      <c r="AA443" s="4">
        <f>Y443-Z443</f>
        <v>-11341.709835599999</v>
      </c>
    </row>
    <row r="444" spans="1:27" x14ac:dyDescent="0.3">
      <c r="A444" s="1">
        <v>10050656</v>
      </c>
      <c r="B444" s="1" t="s">
        <v>772</v>
      </c>
      <c r="C444" s="1" t="s">
        <v>564</v>
      </c>
      <c r="D444" s="1">
        <v>4630264</v>
      </c>
      <c r="E444" s="1">
        <v>0</v>
      </c>
      <c r="F444" s="1" t="s">
        <v>25</v>
      </c>
      <c r="G444" s="1" t="s">
        <v>46</v>
      </c>
      <c r="H444" s="2">
        <v>42414</v>
      </c>
      <c r="I444" s="1" t="s">
        <v>25</v>
      </c>
      <c r="J444" s="2">
        <v>42773</v>
      </c>
      <c r="K444" s="3"/>
      <c r="L444" s="3">
        <v>20000</v>
      </c>
      <c r="M444" s="3">
        <v>20000</v>
      </c>
      <c r="N444" s="1">
        <v>1</v>
      </c>
      <c r="O444" s="1">
        <v>0</v>
      </c>
      <c r="P444" s="1">
        <v>1</v>
      </c>
      <c r="Q444" s="3"/>
      <c r="R444" s="3"/>
      <c r="S444" s="3">
        <v>20000</v>
      </c>
      <c r="T444" s="1">
        <v>0.98356160000000004</v>
      </c>
      <c r="U444" s="3"/>
      <c r="V444" s="3"/>
      <c r="X444" s="1">
        <v>20000</v>
      </c>
      <c r="Y444" s="22">
        <v>0.98356160000000004</v>
      </c>
      <c r="Z444" s="4">
        <f>Table1[[#This Row],[totalTimeKept]]*$AD$3</f>
        <v>14753.424000000001</v>
      </c>
      <c r="AA444" s="4">
        <f>Y444-Z444</f>
        <v>-14752.440438400001</v>
      </c>
    </row>
    <row r="445" spans="1:27" x14ac:dyDescent="0.3">
      <c r="A445" s="1">
        <v>10054304</v>
      </c>
      <c r="B445" s="1" t="s">
        <v>773</v>
      </c>
      <c r="C445" s="1" t="s">
        <v>171</v>
      </c>
      <c r="D445" s="1">
        <v>7485686</v>
      </c>
      <c r="E445" s="1">
        <v>0</v>
      </c>
      <c r="F445" s="1" t="s">
        <v>25</v>
      </c>
      <c r="G445" s="1" t="s">
        <v>349</v>
      </c>
      <c r="H445" s="2">
        <v>42423</v>
      </c>
      <c r="I445" s="1" t="s">
        <v>25</v>
      </c>
      <c r="J445" s="2">
        <v>42687</v>
      </c>
      <c r="K445" s="3"/>
      <c r="L445" s="3">
        <v>87000</v>
      </c>
      <c r="M445" s="3">
        <v>87000</v>
      </c>
      <c r="N445" s="1">
        <v>1</v>
      </c>
      <c r="O445" s="1">
        <v>0</v>
      </c>
      <c r="P445" s="1">
        <v>1</v>
      </c>
      <c r="Q445" s="3"/>
      <c r="R445" s="3"/>
      <c r="S445" s="3">
        <v>87000</v>
      </c>
      <c r="T445" s="1">
        <v>0.72328760000000003</v>
      </c>
      <c r="U445" s="3"/>
      <c r="V445" s="3"/>
      <c r="X445" s="1">
        <v>87000</v>
      </c>
      <c r="Y445" s="22">
        <v>0.72328760000000003</v>
      </c>
      <c r="Z445" s="4">
        <f>Table1[[#This Row],[totalTimeKept]]*$AD$3</f>
        <v>10849.314</v>
      </c>
      <c r="AA445" s="4">
        <f>Y445-Z445</f>
        <v>-10848.5907124</v>
      </c>
    </row>
    <row r="446" spans="1:27" x14ac:dyDescent="0.3">
      <c r="A446" s="1">
        <v>10059297</v>
      </c>
      <c r="B446" s="1" t="s">
        <v>774</v>
      </c>
      <c r="C446" s="1" t="s">
        <v>775</v>
      </c>
      <c r="D446" s="1">
        <v>8588077</v>
      </c>
      <c r="E446" s="1">
        <v>63507.8</v>
      </c>
      <c r="F446" s="1" t="s">
        <v>139</v>
      </c>
      <c r="G446" s="1" t="s">
        <v>24</v>
      </c>
      <c r="H446" s="2">
        <v>42423</v>
      </c>
      <c r="I446" s="2">
        <v>43777</v>
      </c>
      <c r="J446" s="2">
        <v>44145</v>
      </c>
      <c r="K446" s="3">
        <v>110000</v>
      </c>
      <c r="L446" s="3">
        <v>375000</v>
      </c>
      <c r="M446" s="3">
        <v>265000</v>
      </c>
      <c r="N446" s="1">
        <v>0</v>
      </c>
      <c r="O446" s="1">
        <v>1</v>
      </c>
      <c r="P446" s="1">
        <v>1</v>
      </c>
      <c r="Q446" s="3"/>
      <c r="R446" s="3"/>
      <c r="S446" s="3">
        <v>328507.8</v>
      </c>
      <c r="T446" s="1">
        <v>1.008219</v>
      </c>
      <c r="U446" s="3"/>
      <c r="V446" s="3"/>
      <c r="X446" s="1">
        <v>328507.8</v>
      </c>
      <c r="Y446" s="22">
        <v>1.008219</v>
      </c>
      <c r="Z446" s="4">
        <f>Table1[[#This Row],[totalTimeKept]]*$AD$3</f>
        <v>15123.285</v>
      </c>
      <c r="AA446" s="4">
        <f>Y446-Z446</f>
        <v>-15122.276781</v>
      </c>
    </row>
    <row r="447" spans="1:27" x14ac:dyDescent="0.3">
      <c r="A447" s="1">
        <v>10068288</v>
      </c>
      <c r="B447" s="1" t="s">
        <v>776</v>
      </c>
      <c r="C447" s="1" t="s">
        <v>454</v>
      </c>
      <c r="D447" s="1">
        <v>9169840</v>
      </c>
      <c r="E447" s="1">
        <v>0</v>
      </c>
      <c r="F447" s="1" t="s">
        <v>25</v>
      </c>
      <c r="G447" s="1" t="s">
        <v>349</v>
      </c>
      <c r="H447" s="2">
        <v>42451</v>
      </c>
      <c r="I447" s="1" t="s">
        <v>25</v>
      </c>
      <c r="J447" s="2">
        <v>42660</v>
      </c>
      <c r="K447" s="3"/>
      <c r="L447" s="3">
        <v>25000</v>
      </c>
      <c r="M447" s="3">
        <v>25000</v>
      </c>
      <c r="N447" s="1">
        <v>1</v>
      </c>
      <c r="O447" s="1">
        <v>0</v>
      </c>
      <c r="P447" s="1">
        <v>1</v>
      </c>
      <c r="Q447" s="3"/>
      <c r="R447" s="3"/>
      <c r="S447" s="3">
        <v>25000</v>
      </c>
      <c r="T447" s="1">
        <v>0.57260270000000002</v>
      </c>
      <c r="U447" s="3"/>
      <c r="V447" s="3"/>
      <c r="X447" s="1">
        <v>25000</v>
      </c>
      <c r="Y447" s="22">
        <v>0.57260270000000002</v>
      </c>
      <c r="Z447" s="4">
        <f>Table1[[#This Row],[totalTimeKept]]*$AD$3</f>
        <v>8589.040500000001</v>
      </c>
      <c r="AA447" s="4">
        <f>Y447-Z447</f>
        <v>-8588.4678973000009</v>
      </c>
    </row>
    <row r="448" spans="1:27" x14ac:dyDescent="0.3">
      <c r="A448" s="1">
        <v>10069268</v>
      </c>
      <c r="B448" s="1" t="s">
        <v>777</v>
      </c>
      <c r="C448" s="1" t="s">
        <v>331</v>
      </c>
      <c r="D448" s="1">
        <v>8813518</v>
      </c>
      <c r="E448" s="1">
        <v>0</v>
      </c>
      <c r="F448" s="1" t="s">
        <v>25</v>
      </c>
      <c r="G448" s="1" t="s">
        <v>349</v>
      </c>
      <c r="H448" s="2">
        <v>42447</v>
      </c>
      <c r="I448" s="1" t="s">
        <v>25</v>
      </c>
      <c r="J448" s="2">
        <v>42684</v>
      </c>
      <c r="K448" s="3"/>
      <c r="L448" s="3">
        <v>50000</v>
      </c>
      <c r="M448" s="3">
        <v>50000</v>
      </c>
      <c r="N448" s="1">
        <v>1</v>
      </c>
      <c r="O448" s="1">
        <v>0</v>
      </c>
      <c r="P448" s="1">
        <v>1</v>
      </c>
      <c r="Q448" s="3"/>
      <c r="R448" s="3"/>
      <c r="S448" s="3">
        <v>50000</v>
      </c>
      <c r="T448" s="1">
        <v>0.64931510000000003</v>
      </c>
      <c r="U448" s="3"/>
      <c r="V448" s="3"/>
      <c r="X448" s="1">
        <v>50000</v>
      </c>
      <c r="Y448" s="22">
        <v>0.64931510000000003</v>
      </c>
      <c r="Z448" s="4">
        <f>Table1[[#This Row],[totalTimeKept]]*$AD$3</f>
        <v>9739.7265000000007</v>
      </c>
      <c r="AA448" s="4">
        <f>Y448-Z448</f>
        <v>-9739.0771849000012</v>
      </c>
    </row>
    <row r="449" spans="1:27" x14ac:dyDescent="0.3">
      <c r="A449" s="1">
        <v>10069276</v>
      </c>
      <c r="B449" s="1" t="s">
        <v>778</v>
      </c>
      <c r="C449" s="1" t="s">
        <v>32</v>
      </c>
      <c r="D449" s="1">
        <v>4010723</v>
      </c>
      <c r="E449" s="1">
        <v>0</v>
      </c>
      <c r="F449" s="1" t="s">
        <v>25</v>
      </c>
      <c r="G449" s="1" t="s">
        <v>46</v>
      </c>
      <c r="H449" s="2">
        <v>42450</v>
      </c>
      <c r="I449" s="1" t="s">
        <v>25</v>
      </c>
      <c r="J449" s="2">
        <v>42992</v>
      </c>
      <c r="K449" s="3"/>
      <c r="L449" s="3">
        <v>230000</v>
      </c>
      <c r="M449" s="3">
        <v>230000</v>
      </c>
      <c r="N449" s="1">
        <v>1</v>
      </c>
      <c r="O449" s="1">
        <v>0</v>
      </c>
      <c r="P449" s="1">
        <v>1</v>
      </c>
      <c r="Q449" s="3"/>
      <c r="R449" s="3"/>
      <c r="S449" s="3">
        <v>230000</v>
      </c>
      <c r="T449" s="1">
        <v>1.484931</v>
      </c>
      <c r="U449" s="3"/>
      <c r="V449" s="3"/>
      <c r="X449" s="1">
        <v>230000</v>
      </c>
      <c r="Y449" s="22">
        <v>1.484931</v>
      </c>
      <c r="Z449" s="4">
        <f>Table1[[#This Row],[totalTimeKept]]*$AD$3</f>
        <v>22273.965</v>
      </c>
      <c r="AA449" s="4">
        <f>Y449-Z449</f>
        <v>-22272.480069000001</v>
      </c>
    </row>
    <row r="450" spans="1:27" x14ac:dyDescent="0.3">
      <c r="A450" s="1">
        <v>10069356</v>
      </c>
      <c r="B450" s="1" t="s">
        <v>779</v>
      </c>
      <c r="C450" s="1" t="s">
        <v>780</v>
      </c>
      <c r="D450" s="1">
        <v>4610273</v>
      </c>
      <c r="E450" s="1">
        <v>0</v>
      </c>
      <c r="F450" s="1" t="s">
        <v>349</v>
      </c>
      <c r="G450" s="1" t="s">
        <v>25</v>
      </c>
      <c r="H450" s="2">
        <v>42398</v>
      </c>
      <c r="I450" s="2">
        <v>42683</v>
      </c>
      <c r="J450" s="2" t="s">
        <v>25</v>
      </c>
      <c r="K450" s="3">
        <v>400000</v>
      </c>
      <c r="L450" s="3"/>
      <c r="M450" s="3">
        <v>-400000</v>
      </c>
      <c r="N450" s="1">
        <v>0</v>
      </c>
      <c r="O450" s="1">
        <v>1</v>
      </c>
      <c r="P450" s="1">
        <v>0</v>
      </c>
      <c r="Q450" s="3">
        <v>443745.3</v>
      </c>
      <c r="R450" s="3"/>
      <c r="S450" s="3">
        <v>-843745.3</v>
      </c>
      <c r="T450" s="1">
        <v>8.2794519999999991</v>
      </c>
      <c r="U450" s="3"/>
      <c r="V450" s="3"/>
      <c r="X450" s="1">
        <v>-843745.3</v>
      </c>
      <c r="Y450" s="22">
        <v>8.2794519999999991</v>
      </c>
      <c r="Z450" s="4">
        <f>Table1[[#This Row],[totalTimeKept]]*$AD$3</f>
        <v>124191.77999999998</v>
      </c>
      <c r="AA450" s="4">
        <f>Y450-Z450</f>
        <v>-124183.50054799998</v>
      </c>
    </row>
    <row r="451" spans="1:27" x14ac:dyDescent="0.3">
      <c r="A451" s="1">
        <v>10076241</v>
      </c>
      <c r="B451" s="1" t="s">
        <v>781</v>
      </c>
      <c r="C451" s="1" t="s">
        <v>205</v>
      </c>
      <c r="D451" s="1">
        <v>7753394</v>
      </c>
      <c r="E451" s="1">
        <v>0</v>
      </c>
      <c r="F451" s="1" t="s">
        <v>25</v>
      </c>
      <c r="G451" s="1" t="s">
        <v>46</v>
      </c>
      <c r="H451" s="2">
        <v>42466</v>
      </c>
      <c r="I451" s="1" t="s">
        <v>25</v>
      </c>
      <c r="J451" s="2">
        <v>42773</v>
      </c>
      <c r="K451" s="3"/>
      <c r="L451" s="3">
        <v>20000</v>
      </c>
      <c r="M451" s="3">
        <v>20000</v>
      </c>
      <c r="N451" s="1">
        <v>1</v>
      </c>
      <c r="O451" s="1">
        <v>0</v>
      </c>
      <c r="P451" s="1">
        <v>1</v>
      </c>
      <c r="Q451" s="3"/>
      <c r="R451" s="3"/>
      <c r="S451" s="3">
        <v>20000</v>
      </c>
      <c r="T451" s="1">
        <v>0.84109590000000001</v>
      </c>
      <c r="U451" s="3"/>
      <c r="V451" s="3"/>
      <c r="X451" s="1">
        <v>20000</v>
      </c>
      <c r="Y451" s="22">
        <v>0.84109590000000001</v>
      </c>
      <c r="Z451" s="4">
        <f>Table1[[#This Row],[totalTimeKept]]*$AD$3</f>
        <v>12616.4385</v>
      </c>
      <c r="AA451" s="4">
        <f>Y451-Z451</f>
        <v>-12615.597404100001</v>
      </c>
    </row>
    <row r="452" spans="1:27" x14ac:dyDescent="0.3">
      <c r="A452" s="1">
        <v>10076713</v>
      </c>
      <c r="B452" s="1" t="s">
        <v>782</v>
      </c>
      <c r="C452" s="1" t="s">
        <v>536</v>
      </c>
      <c r="D452" s="1">
        <v>5102441</v>
      </c>
      <c r="E452" s="1">
        <v>41400</v>
      </c>
      <c r="F452" s="1" t="s">
        <v>349</v>
      </c>
      <c r="G452" s="1" t="s">
        <v>24</v>
      </c>
      <c r="H452" s="2">
        <v>42435</v>
      </c>
      <c r="I452" s="2">
        <v>42683</v>
      </c>
      <c r="J452" s="2">
        <v>43775</v>
      </c>
      <c r="K452" s="3">
        <v>650000</v>
      </c>
      <c r="L452" s="3">
        <v>700000</v>
      </c>
      <c r="M452" s="3">
        <v>50000</v>
      </c>
      <c r="N452" s="1">
        <v>0</v>
      </c>
      <c r="O452" s="1">
        <v>1</v>
      </c>
      <c r="P452" s="1">
        <v>1</v>
      </c>
      <c r="Q452" s="3"/>
      <c r="R452" s="3"/>
      <c r="S452" s="3">
        <v>91400</v>
      </c>
      <c r="T452" s="1">
        <v>2.991781</v>
      </c>
      <c r="U452" s="3"/>
      <c r="V452" s="3"/>
      <c r="X452" s="1">
        <v>91400</v>
      </c>
      <c r="Y452" s="22">
        <v>2.991781</v>
      </c>
      <c r="Z452" s="4">
        <f>Table1[[#This Row],[totalTimeKept]]*$AD$3</f>
        <v>44876.715000000004</v>
      </c>
      <c r="AA452" s="4">
        <f>Y452-Z452</f>
        <v>-44873.723219000007</v>
      </c>
    </row>
    <row r="453" spans="1:27" x14ac:dyDescent="0.3">
      <c r="A453" s="1">
        <v>10077549</v>
      </c>
      <c r="B453" s="1" t="s">
        <v>783</v>
      </c>
      <c r="C453" s="1" t="s">
        <v>252</v>
      </c>
      <c r="D453" s="1">
        <v>8266167</v>
      </c>
      <c r="E453" s="1">
        <v>0</v>
      </c>
      <c r="F453" s="1" t="s">
        <v>25</v>
      </c>
      <c r="G453" s="1" t="s">
        <v>25</v>
      </c>
      <c r="H453" s="2">
        <v>42408</v>
      </c>
      <c r="I453" s="1" t="s">
        <v>25</v>
      </c>
      <c r="J453" s="2" t="s">
        <v>25</v>
      </c>
      <c r="K453" s="3"/>
      <c r="L453" s="3"/>
      <c r="M453" s="3">
        <v>0</v>
      </c>
      <c r="N453" s="1">
        <v>1</v>
      </c>
      <c r="P453" s="1">
        <v>0</v>
      </c>
      <c r="Q453" s="3">
        <v>90000</v>
      </c>
      <c r="R453" s="3"/>
      <c r="S453" s="3">
        <v>-90000</v>
      </c>
      <c r="T453" s="1">
        <v>9.0328769999999992</v>
      </c>
      <c r="U453" s="3">
        <v>20000</v>
      </c>
      <c r="V453" s="3">
        <v>0</v>
      </c>
      <c r="W453" s="1">
        <v>0.74794519999999998</v>
      </c>
      <c r="X453" s="1">
        <v>-70000</v>
      </c>
      <c r="Y453" s="22">
        <v>9.7808220000000006</v>
      </c>
      <c r="Z453" s="4">
        <f>Table1[[#This Row],[totalTimeKept]]*$AD$3</f>
        <v>146712.33000000002</v>
      </c>
      <c r="AA453" s="4">
        <f>Y453-Z453</f>
        <v>-146702.54917800002</v>
      </c>
    </row>
    <row r="454" spans="1:27" x14ac:dyDescent="0.3">
      <c r="A454" s="1">
        <v>10077554</v>
      </c>
      <c r="B454" s="1" t="s">
        <v>784</v>
      </c>
      <c r="C454" s="1" t="s">
        <v>666</v>
      </c>
      <c r="D454" s="1">
        <v>4665801</v>
      </c>
      <c r="E454" s="1">
        <v>0</v>
      </c>
      <c r="F454" s="1" t="s">
        <v>25</v>
      </c>
      <c r="G454" s="1" t="s">
        <v>46</v>
      </c>
      <c r="H454" s="2">
        <v>42410</v>
      </c>
      <c r="I454" s="1" t="s">
        <v>25</v>
      </c>
      <c r="J454" s="2">
        <v>42989</v>
      </c>
      <c r="K454" s="3"/>
      <c r="L454" s="3">
        <v>500000</v>
      </c>
      <c r="M454" s="3">
        <v>500000</v>
      </c>
      <c r="N454" s="1">
        <v>1</v>
      </c>
      <c r="O454" s="1">
        <v>0</v>
      </c>
      <c r="P454" s="1">
        <v>1</v>
      </c>
      <c r="Q454" s="3"/>
      <c r="R454" s="3"/>
      <c r="S454" s="3">
        <v>500000</v>
      </c>
      <c r="T454" s="1">
        <v>1.586301</v>
      </c>
      <c r="U454" s="3"/>
      <c r="V454" s="3"/>
      <c r="X454" s="1">
        <v>500000</v>
      </c>
      <c r="Y454" s="22">
        <v>1.586301</v>
      </c>
      <c r="Z454" s="4">
        <f>Table1[[#This Row],[totalTimeKept]]*$AD$3</f>
        <v>23794.514999999999</v>
      </c>
      <c r="AA454" s="4">
        <f>Y454-Z454</f>
        <v>-23792.928699</v>
      </c>
    </row>
    <row r="455" spans="1:27" x14ac:dyDescent="0.3">
      <c r="A455" s="1">
        <v>10077568</v>
      </c>
      <c r="B455" s="1" t="s">
        <v>785</v>
      </c>
      <c r="C455" s="1" t="s">
        <v>199</v>
      </c>
      <c r="D455" s="1">
        <v>7732950</v>
      </c>
      <c r="E455" s="1">
        <v>58100</v>
      </c>
      <c r="F455" s="1" t="s">
        <v>25</v>
      </c>
      <c r="G455" s="1" t="s">
        <v>24</v>
      </c>
      <c r="H455" s="2">
        <v>42418</v>
      </c>
      <c r="I455" s="1" t="s">
        <v>25</v>
      </c>
      <c r="J455" s="2">
        <v>44512</v>
      </c>
      <c r="K455" s="3"/>
      <c r="L455" s="3">
        <v>65000</v>
      </c>
      <c r="M455" s="3">
        <v>65000</v>
      </c>
      <c r="N455" s="1">
        <v>1</v>
      </c>
      <c r="O455" s="1">
        <v>0</v>
      </c>
      <c r="P455" s="1">
        <v>1</v>
      </c>
      <c r="Q455" s="3">
        <v>20000</v>
      </c>
      <c r="R455" s="3"/>
      <c r="S455" s="3">
        <v>103100</v>
      </c>
      <c r="T455" s="1">
        <v>5.7369859999999999</v>
      </c>
      <c r="U455" s="3"/>
      <c r="V455" s="3"/>
      <c r="X455" s="1">
        <v>103100</v>
      </c>
      <c r="Y455" s="22">
        <v>5.7369859999999999</v>
      </c>
      <c r="Z455" s="4">
        <f>Table1[[#This Row],[totalTimeKept]]*$AD$3</f>
        <v>86054.79</v>
      </c>
      <c r="AA455" s="4">
        <f>Y455-Z455</f>
        <v>-86049.05301399999</v>
      </c>
    </row>
    <row r="456" spans="1:27" x14ac:dyDescent="0.3">
      <c r="A456" s="1">
        <v>10077569</v>
      </c>
      <c r="B456" s="1" t="s">
        <v>786</v>
      </c>
      <c r="C456" s="1" t="s">
        <v>343</v>
      </c>
      <c r="D456" s="1">
        <v>8828942</v>
      </c>
      <c r="E456" s="1">
        <v>0</v>
      </c>
      <c r="F456" s="1" t="s">
        <v>25</v>
      </c>
      <c r="G456" s="1" t="s">
        <v>46</v>
      </c>
      <c r="H456" s="2">
        <v>42418</v>
      </c>
      <c r="I456" s="1" t="s">
        <v>25</v>
      </c>
      <c r="J456" s="2">
        <v>43018</v>
      </c>
      <c r="K456" s="3"/>
      <c r="L456" s="3">
        <v>35000</v>
      </c>
      <c r="M456" s="3">
        <v>35000</v>
      </c>
      <c r="N456" s="1">
        <v>1</v>
      </c>
      <c r="O456" s="1">
        <v>0</v>
      </c>
      <c r="P456" s="1">
        <v>1</v>
      </c>
      <c r="Q456" s="3"/>
      <c r="R456" s="3"/>
      <c r="S456" s="3">
        <v>35000</v>
      </c>
      <c r="T456" s="1">
        <v>1.6438360000000001</v>
      </c>
      <c r="U456" s="3"/>
      <c r="V456" s="3"/>
      <c r="X456" s="1">
        <v>35000</v>
      </c>
      <c r="Y456" s="22">
        <v>1.6438360000000001</v>
      </c>
      <c r="Z456" s="4">
        <f>Table1[[#This Row],[totalTimeKept]]*$AD$3</f>
        <v>24657.54</v>
      </c>
      <c r="AA456" s="4">
        <f>Y456-Z456</f>
        <v>-24655.896164000002</v>
      </c>
    </row>
    <row r="457" spans="1:27" x14ac:dyDescent="0.3">
      <c r="A457" s="1">
        <v>10077573</v>
      </c>
      <c r="B457" s="1" t="s">
        <v>787</v>
      </c>
      <c r="C457" s="1" t="s">
        <v>703</v>
      </c>
      <c r="D457" s="1">
        <v>8567762</v>
      </c>
      <c r="E457" s="1">
        <v>0</v>
      </c>
      <c r="F457" s="1" t="s">
        <v>25</v>
      </c>
      <c r="G457" s="1" t="s">
        <v>349</v>
      </c>
      <c r="H457" s="2">
        <v>42420</v>
      </c>
      <c r="I457" s="1" t="s">
        <v>25</v>
      </c>
      <c r="J457" s="2">
        <v>42684</v>
      </c>
      <c r="K457" s="3"/>
      <c r="L457" s="3">
        <v>390000</v>
      </c>
      <c r="M457" s="3">
        <v>390000</v>
      </c>
      <c r="N457" s="1">
        <v>1</v>
      </c>
      <c r="O457" s="1">
        <v>0</v>
      </c>
      <c r="P457" s="1">
        <v>1</v>
      </c>
      <c r="Q457" s="3"/>
      <c r="R457" s="3"/>
      <c r="S457" s="3">
        <v>390000</v>
      </c>
      <c r="T457" s="1">
        <v>0.72328760000000003</v>
      </c>
      <c r="U457" s="3"/>
      <c r="V457" s="3"/>
      <c r="X457" s="1">
        <v>390000</v>
      </c>
      <c r="Y457" s="22">
        <v>0.72328760000000003</v>
      </c>
      <c r="Z457" s="4">
        <f>Table1[[#This Row],[totalTimeKept]]*$AD$3</f>
        <v>10849.314</v>
      </c>
      <c r="AA457" s="4">
        <f>Y457-Z457</f>
        <v>-10848.5907124</v>
      </c>
    </row>
    <row r="458" spans="1:27" x14ac:dyDescent="0.3">
      <c r="A458" s="1">
        <v>10077578</v>
      </c>
      <c r="B458" s="1" t="s">
        <v>788</v>
      </c>
      <c r="C458" s="1" t="s">
        <v>103</v>
      </c>
      <c r="D458" s="1">
        <v>6513217</v>
      </c>
      <c r="E458" s="1">
        <v>0</v>
      </c>
      <c r="F458" s="1" t="s">
        <v>25</v>
      </c>
      <c r="G458" s="1" t="s">
        <v>46</v>
      </c>
      <c r="H458" s="2">
        <v>42412</v>
      </c>
      <c r="I458" s="1" t="s">
        <v>25</v>
      </c>
      <c r="J458" s="2">
        <v>43033</v>
      </c>
      <c r="K458" s="3"/>
      <c r="L458" s="3">
        <v>700000</v>
      </c>
      <c r="M458" s="3">
        <v>700000</v>
      </c>
      <c r="N458" s="1">
        <v>1</v>
      </c>
      <c r="O458" s="1">
        <v>0</v>
      </c>
      <c r="P458" s="1">
        <v>1</v>
      </c>
      <c r="Q458" s="3"/>
      <c r="R458" s="3"/>
      <c r="S458" s="3">
        <v>700000</v>
      </c>
      <c r="T458" s="1">
        <v>1.70137</v>
      </c>
      <c r="U458" s="3"/>
      <c r="V458" s="3"/>
      <c r="X458" s="1">
        <v>700000</v>
      </c>
      <c r="Y458" s="22">
        <v>1.70137</v>
      </c>
      <c r="Z458" s="4">
        <f>Table1[[#This Row],[totalTimeKept]]*$AD$3</f>
        <v>25520.55</v>
      </c>
      <c r="AA458" s="4">
        <f>Y458-Z458</f>
        <v>-25518.84863</v>
      </c>
    </row>
    <row r="459" spans="1:27" x14ac:dyDescent="0.3">
      <c r="A459" s="1">
        <v>10077595</v>
      </c>
      <c r="B459" s="1" t="s">
        <v>789</v>
      </c>
      <c r="C459" s="1" t="s">
        <v>95</v>
      </c>
      <c r="D459" s="1">
        <v>6397901</v>
      </c>
      <c r="E459" s="1">
        <v>0</v>
      </c>
      <c r="F459" s="1" t="s">
        <v>25</v>
      </c>
      <c r="G459" s="1" t="s">
        <v>24</v>
      </c>
      <c r="H459" s="2">
        <v>42433</v>
      </c>
      <c r="I459" s="1" t="s">
        <v>25</v>
      </c>
      <c r="J459" s="2">
        <v>43872</v>
      </c>
      <c r="K459" s="3"/>
      <c r="L459" s="3">
        <v>250000</v>
      </c>
      <c r="M459" s="3">
        <v>250000</v>
      </c>
      <c r="N459" s="1">
        <v>1</v>
      </c>
      <c r="O459" s="1">
        <v>0</v>
      </c>
      <c r="P459" s="1">
        <v>1</v>
      </c>
      <c r="Q459" s="3">
        <v>103481.5</v>
      </c>
      <c r="R459" s="3"/>
      <c r="S459" s="3">
        <v>146518.5</v>
      </c>
      <c r="T459" s="1">
        <v>3.942466</v>
      </c>
      <c r="U459" s="3"/>
      <c r="V459" s="3"/>
      <c r="X459" s="1">
        <v>146518.5</v>
      </c>
      <c r="Y459" s="22">
        <v>3.942466</v>
      </c>
      <c r="Z459" s="4">
        <f>Table1[[#This Row],[totalTimeKept]]*$AD$3</f>
        <v>59136.99</v>
      </c>
      <c r="AA459" s="4">
        <f>Y459-Z459</f>
        <v>-59133.047533999998</v>
      </c>
    </row>
    <row r="460" spans="1:27" x14ac:dyDescent="0.3">
      <c r="A460" s="1">
        <v>10077604</v>
      </c>
      <c r="B460" s="1" t="s">
        <v>790</v>
      </c>
      <c r="C460" s="1" t="s">
        <v>107</v>
      </c>
      <c r="D460" s="1">
        <v>6587169</v>
      </c>
      <c r="E460" s="1">
        <v>0</v>
      </c>
      <c r="F460" s="1" t="s">
        <v>25</v>
      </c>
      <c r="G460" s="1" t="s">
        <v>349</v>
      </c>
      <c r="H460" s="2">
        <v>42434</v>
      </c>
      <c r="I460" s="1" t="s">
        <v>25</v>
      </c>
      <c r="J460" s="2">
        <v>42684</v>
      </c>
      <c r="K460" s="3"/>
      <c r="L460" s="3">
        <v>150000</v>
      </c>
      <c r="M460" s="3">
        <v>150000</v>
      </c>
      <c r="N460" s="1">
        <v>1</v>
      </c>
      <c r="O460" s="1">
        <v>0</v>
      </c>
      <c r="P460" s="1">
        <v>1</v>
      </c>
      <c r="Q460" s="3"/>
      <c r="R460" s="3"/>
      <c r="S460" s="3">
        <v>150000</v>
      </c>
      <c r="T460" s="1">
        <v>0.68493150000000003</v>
      </c>
      <c r="U460" s="3"/>
      <c r="V460" s="3"/>
      <c r="X460" s="1">
        <v>150000</v>
      </c>
      <c r="Y460" s="22">
        <v>0.68493150000000003</v>
      </c>
      <c r="Z460" s="4">
        <f>Table1[[#This Row],[totalTimeKept]]*$AD$3</f>
        <v>10273.9725</v>
      </c>
      <c r="AA460" s="4">
        <f>Y460-Z460</f>
        <v>-10273.2875685</v>
      </c>
    </row>
    <row r="461" spans="1:27" x14ac:dyDescent="0.3">
      <c r="A461" s="1">
        <v>10077615</v>
      </c>
      <c r="B461" s="1" t="s">
        <v>791</v>
      </c>
      <c r="C461" s="1" t="s">
        <v>75</v>
      </c>
      <c r="D461" s="1">
        <v>5334092</v>
      </c>
      <c r="E461" s="1">
        <v>85915</v>
      </c>
      <c r="F461" s="1" t="s">
        <v>25</v>
      </c>
      <c r="G461" s="1" t="s">
        <v>25</v>
      </c>
      <c r="H461" s="2">
        <v>42444</v>
      </c>
      <c r="I461" s="1" t="s">
        <v>25</v>
      </c>
      <c r="J461" s="2" t="s">
        <v>25</v>
      </c>
      <c r="K461" s="3"/>
      <c r="L461" s="3"/>
      <c r="M461" s="3">
        <v>0</v>
      </c>
      <c r="N461" s="1">
        <v>1</v>
      </c>
      <c r="P461" s="1">
        <v>0</v>
      </c>
      <c r="Q461" s="3"/>
      <c r="R461" s="3"/>
      <c r="S461" s="3">
        <v>85915</v>
      </c>
      <c r="T461" s="1">
        <v>8.9342469999999992</v>
      </c>
      <c r="U461" s="3"/>
      <c r="V461" s="3"/>
      <c r="X461" s="1">
        <v>85915</v>
      </c>
      <c r="Y461" s="22">
        <v>8.9342469999999992</v>
      </c>
      <c r="Z461" s="4">
        <f>Table1[[#This Row],[totalTimeKept]]*$AD$3</f>
        <v>134013.70499999999</v>
      </c>
      <c r="AA461" s="4">
        <f>Y461-Z461</f>
        <v>-134004.77075299999</v>
      </c>
    </row>
    <row r="462" spans="1:27" x14ac:dyDescent="0.3">
      <c r="A462" s="1">
        <v>10077639</v>
      </c>
      <c r="B462" s="1" t="s">
        <v>792</v>
      </c>
      <c r="C462" s="1" t="s">
        <v>502</v>
      </c>
      <c r="D462" s="1">
        <v>4026221</v>
      </c>
      <c r="E462" s="1">
        <v>0</v>
      </c>
      <c r="F462" s="1" t="s">
        <v>25</v>
      </c>
      <c r="G462" s="1" t="s">
        <v>292</v>
      </c>
      <c r="H462" s="2">
        <v>42462</v>
      </c>
      <c r="I462" s="1" t="s">
        <v>25</v>
      </c>
      <c r="J462" s="2">
        <v>43232</v>
      </c>
      <c r="K462" s="3"/>
      <c r="L462" s="3">
        <v>214956</v>
      </c>
      <c r="M462" s="3">
        <v>214956</v>
      </c>
      <c r="N462" s="1">
        <v>1</v>
      </c>
      <c r="O462" s="1">
        <v>0</v>
      </c>
      <c r="P462" s="1">
        <v>1</v>
      </c>
      <c r="Q462" s="3"/>
      <c r="R462" s="3"/>
      <c r="S462" s="3">
        <v>214956</v>
      </c>
      <c r="T462" s="1">
        <v>2.1095890000000002</v>
      </c>
      <c r="U462" s="3"/>
      <c r="V462" s="3"/>
      <c r="X462" s="1">
        <v>214956</v>
      </c>
      <c r="Y462" s="22">
        <v>2.1095890000000002</v>
      </c>
      <c r="Z462" s="4">
        <f>Table1[[#This Row],[totalTimeKept]]*$AD$3</f>
        <v>31643.835000000003</v>
      </c>
      <c r="AA462" s="4">
        <f>Y462-Z462</f>
        <v>-31641.725411000003</v>
      </c>
    </row>
    <row r="463" spans="1:27" x14ac:dyDescent="0.3">
      <c r="A463" s="1">
        <v>10077644</v>
      </c>
      <c r="B463" s="1" t="s">
        <v>793</v>
      </c>
      <c r="C463" s="1" t="s">
        <v>133</v>
      </c>
      <c r="D463" s="1">
        <v>7128556</v>
      </c>
      <c r="E463" s="1">
        <v>0</v>
      </c>
      <c r="F463" s="1" t="s">
        <v>25</v>
      </c>
      <c r="G463" s="1" t="s">
        <v>24</v>
      </c>
      <c r="H463" s="2">
        <v>42464</v>
      </c>
      <c r="I463" s="1" t="s">
        <v>25</v>
      </c>
      <c r="J463" s="2">
        <v>44146</v>
      </c>
      <c r="K463" s="3"/>
      <c r="L463" s="3">
        <v>350000</v>
      </c>
      <c r="M463" s="3">
        <v>350000</v>
      </c>
      <c r="N463" s="1">
        <v>1</v>
      </c>
      <c r="O463" s="1">
        <v>0</v>
      </c>
      <c r="P463" s="1">
        <v>1</v>
      </c>
      <c r="Q463" s="3"/>
      <c r="R463" s="3"/>
      <c r="S463" s="3">
        <v>350000</v>
      </c>
      <c r="T463" s="1">
        <v>4.6082190000000001</v>
      </c>
      <c r="U463" s="3"/>
      <c r="V463" s="3"/>
      <c r="X463" s="1">
        <v>350000</v>
      </c>
      <c r="Y463" s="22">
        <v>4.6082190000000001</v>
      </c>
      <c r="Z463" s="4">
        <f>Table1[[#This Row],[totalTimeKept]]*$AD$3</f>
        <v>69123.285000000003</v>
      </c>
      <c r="AA463" s="4">
        <f>Y463-Z463</f>
        <v>-69118.676781000002</v>
      </c>
    </row>
    <row r="464" spans="1:27" x14ac:dyDescent="0.3">
      <c r="A464" s="1">
        <v>10077648</v>
      </c>
      <c r="B464" s="1" t="s">
        <v>794</v>
      </c>
      <c r="C464" s="1" t="s">
        <v>336</v>
      </c>
      <c r="D464" s="1">
        <v>6674784</v>
      </c>
      <c r="E464" s="1">
        <v>0</v>
      </c>
      <c r="F464" s="1" t="s">
        <v>25</v>
      </c>
      <c r="G464" s="1" t="s">
        <v>349</v>
      </c>
      <c r="H464" s="2">
        <v>42467</v>
      </c>
      <c r="I464" s="1" t="s">
        <v>25</v>
      </c>
      <c r="J464" s="2">
        <v>42682</v>
      </c>
      <c r="K464" s="3"/>
      <c r="L464" s="3">
        <v>135000</v>
      </c>
      <c r="M464" s="3">
        <v>135000</v>
      </c>
      <c r="N464" s="1">
        <v>1</v>
      </c>
      <c r="O464" s="1">
        <v>0</v>
      </c>
      <c r="P464" s="1">
        <v>1</v>
      </c>
      <c r="Q464" s="3"/>
      <c r="R464" s="3"/>
      <c r="S464" s="3">
        <v>135000</v>
      </c>
      <c r="T464" s="1">
        <v>0.58904109999999998</v>
      </c>
      <c r="U464" s="3"/>
      <c r="V464" s="3"/>
      <c r="X464" s="1">
        <v>135000</v>
      </c>
      <c r="Y464" s="22">
        <v>0.58904109999999998</v>
      </c>
      <c r="Z464" s="4">
        <f>Table1[[#This Row],[totalTimeKept]]*$AD$3</f>
        <v>8835.6165000000001</v>
      </c>
      <c r="AA464" s="4">
        <f>Y464-Z464</f>
        <v>-8835.0274589000001</v>
      </c>
    </row>
    <row r="465" spans="1:27" x14ac:dyDescent="0.3">
      <c r="A465" s="1">
        <v>10077656</v>
      </c>
      <c r="B465" s="1" t="s">
        <v>795</v>
      </c>
      <c r="C465" s="1" t="s">
        <v>93</v>
      </c>
      <c r="D465" s="1">
        <v>6279674</v>
      </c>
      <c r="E465" s="1">
        <v>0</v>
      </c>
      <c r="F465" s="1" t="s">
        <v>25</v>
      </c>
      <c r="G465" s="1" t="s">
        <v>349</v>
      </c>
      <c r="H465" s="2">
        <v>42468</v>
      </c>
      <c r="I465" s="1" t="s">
        <v>25</v>
      </c>
      <c r="J465" s="2">
        <v>42682</v>
      </c>
      <c r="K465" s="3"/>
      <c r="L465" s="3">
        <v>360000</v>
      </c>
      <c r="M465" s="3">
        <v>360000</v>
      </c>
      <c r="N465" s="1">
        <v>1</v>
      </c>
      <c r="O465" s="1">
        <v>0</v>
      </c>
      <c r="P465" s="1">
        <v>1</v>
      </c>
      <c r="Q465" s="3"/>
      <c r="R465" s="3"/>
      <c r="S465" s="3">
        <v>360000</v>
      </c>
      <c r="T465" s="1">
        <v>0.58630139999999997</v>
      </c>
      <c r="U465" s="3"/>
      <c r="V465" s="3"/>
      <c r="X465" s="1">
        <v>360000</v>
      </c>
      <c r="Y465" s="22">
        <v>0.58630139999999997</v>
      </c>
      <c r="Z465" s="4">
        <f>Table1[[#This Row],[totalTimeKept]]*$AD$3</f>
        <v>8794.5209999999988</v>
      </c>
      <c r="AA465" s="4">
        <f>Y465-Z465</f>
        <v>-8793.9346985999982</v>
      </c>
    </row>
    <row r="466" spans="1:27" x14ac:dyDescent="0.3">
      <c r="A466" s="1">
        <v>10085409</v>
      </c>
      <c r="B466" s="1" t="s">
        <v>796</v>
      </c>
      <c r="C466" s="1" t="s">
        <v>797</v>
      </c>
      <c r="D466" s="1">
        <v>8122573</v>
      </c>
      <c r="E466" s="1">
        <v>60000</v>
      </c>
      <c r="F466" s="1" t="s">
        <v>139</v>
      </c>
      <c r="G466" s="1" t="s">
        <v>24</v>
      </c>
      <c r="H466" s="2">
        <v>42090</v>
      </c>
      <c r="I466" s="2">
        <v>44144</v>
      </c>
      <c r="J466" s="2">
        <v>44706</v>
      </c>
      <c r="K466" s="3">
        <v>200000</v>
      </c>
      <c r="L466" s="3">
        <v>440664</v>
      </c>
      <c r="M466" s="3">
        <v>240664</v>
      </c>
      <c r="N466" s="1">
        <v>0</v>
      </c>
      <c r="O466" s="1">
        <v>1</v>
      </c>
      <c r="P466" s="1">
        <v>1</v>
      </c>
      <c r="Q466" s="3">
        <v>102189.8</v>
      </c>
      <c r="R466" s="3"/>
      <c r="S466" s="3">
        <v>198474.2</v>
      </c>
      <c r="T466" s="1">
        <v>1.5397259999999999</v>
      </c>
      <c r="U466" s="3"/>
      <c r="V466" s="3"/>
      <c r="X466" s="1">
        <v>198474.2</v>
      </c>
      <c r="Y466" s="22">
        <v>1.5397259999999999</v>
      </c>
      <c r="Z466" s="4">
        <f>Table1[[#This Row],[totalTimeKept]]*$AD$3</f>
        <v>23095.89</v>
      </c>
      <c r="AA466" s="4">
        <f>Y466-Z466</f>
        <v>-23094.350274</v>
      </c>
    </row>
    <row r="467" spans="1:27" x14ac:dyDescent="0.3">
      <c r="A467" s="1">
        <v>10087445</v>
      </c>
      <c r="B467" s="1" t="s">
        <v>798</v>
      </c>
      <c r="C467" s="1" t="s">
        <v>799</v>
      </c>
      <c r="D467" s="1">
        <v>8063539</v>
      </c>
      <c r="E467" s="1">
        <v>0</v>
      </c>
      <c r="F467" s="1" t="s">
        <v>24</v>
      </c>
      <c r="G467" s="1" t="s">
        <v>25</v>
      </c>
      <c r="H467" s="2">
        <v>42400</v>
      </c>
      <c r="I467" s="2">
        <v>44145</v>
      </c>
      <c r="J467" s="1" t="s">
        <v>25</v>
      </c>
      <c r="K467" s="3">
        <v>95000</v>
      </c>
      <c r="L467" s="3"/>
      <c r="M467" s="3">
        <v>-95000</v>
      </c>
      <c r="N467" s="1">
        <v>0</v>
      </c>
      <c r="O467" s="1">
        <v>1</v>
      </c>
      <c r="P467" s="1">
        <v>0</v>
      </c>
      <c r="Q467" s="3">
        <v>135000</v>
      </c>
      <c r="R467" s="3"/>
      <c r="S467" s="3">
        <v>-230000</v>
      </c>
      <c r="T467" s="1">
        <v>4.2739729999999998</v>
      </c>
      <c r="U467" s="3">
        <v>181500</v>
      </c>
      <c r="V467" s="3">
        <v>0</v>
      </c>
      <c r="W467" s="1">
        <v>2.9780820000000001</v>
      </c>
      <c r="X467" s="1">
        <v>-48500</v>
      </c>
      <c r="Y467" s="22">
        <v>7.2520550000000004</v>
      </c>
      <c r="Z467" s="4">
        <f>Table1[[#This Row],[totalTimeKept]]*$AD$3</f>
        <v>108780.82500000001</v>
      </c>
      <c r="AA467" s="4">
        <f>Y467-Z467</f>
        <v>-108773.57294500001</v>
      </c>
    </row>
    <row r="468" spans="1:27" x14ac:dyDescent="0.3">
      <c r="A468" s="1">
        <v>10096184</v>
      </c>
      <c r="B468" s="1" t="s">
        <v>800</v>
      </c>
      <c r="C468" s="1" t="s">
        <v>801</v>
      </c>
      <c r="D468" s="1">
        <v>9285523</v>
      </c>
      <c r="E468" s="1">
        <v>5000</v>
      </c>
      <c r="F468" s="1" t="s">
        <v>139</v>
      </c>
      <c r="G468" s="1" t="s">
        <v>25</v>
      </c>
      <c r="H468" s="2">
        <v>42490</v>
      </c>
      <c r="I468" s="2">
        <v>44145</v>
      </c>
      <c r="J468" s="2" t="s">
        <v>25</v>
      </c>
      <c r="K468" s="3">
        <v>175000</v>
      </c>
      <c r="L468" s="3"/>
      <c r="M468" s="3">
        <v>-175000</v>
      </c>
      <c r="N468" s="1">
        <v>0</v>
      </c>
      <c r="O468" s="1">
        <v>1</v>
      </c>
      <c r="P468" s="1">
        <v>0</v>
      </c>
      <c r="Q468" s="3">
        <v>175000</v>
      </c>
      <c r="R468" s="3"/>
      <c r="S468" s="3">
        <v>-345000</v>
      </c>
      <c r="T468" s="1">
        <v>4.2739729999999998</v>
      </c>
      <c r="U468" s="3"/>
      <c r="V468" s="3"/>
      <c r="X468" s="1">
        <v>-345000</v>
      </c>
      <c r="Y468" s="22">
        <v>4.2739729999999998</v>
      </c>
      <c r="Z468" s="4">
        <f>Table1[[#This Row],[totalTimeKept]]*$AD$3</f>
        <v>64109.594999999994</v>
      </c>
      <c r="AA468" s="4">
        <f>Y468-Z468</f>
        <v>-64105.321026999991</v>
      </c>
    </row>
    <row r="469" spans="1:27" x14ac:dyDescent="0.3">
      <c r="A469" s="1">
        <v>10097361</v>
      </c>
      <c r="B469" s="1" t="s">
        <v>802</v>
      </c>
      <c r="C469" s="1" t="s">
        <v>740</v>
      </c>
      <c r="D469" s="1">
        <v>8280029</v>
      </c>
      <c r="E469" s="1">
        <v>0</v>
      </c>
      <c r="F469" s="1" t="s">
        <v>25</v>
      </c>
      <c r="G469" s="1" t="s">
        <v>46</v>
      </c>
      <c r="H469" s="2">
        <v>42469</v>
      </c>
      <c r="I469" s="1" t="s">
        <v>25</v>
      </c>
      <c r="J469" s="2">
        <v>42760</v>
      </c>
      <c r="K469" s="3"/>
      <c r="L469" s="3">
        <v>5000</v>
      </c>
      <c r="M469" s="3">
        <v>5000</v>
      </c>
      <c r="N469" s="1">
        <v>1</v>
      </c>
      <c r="O469" s="1">
        <v>0</v>
      </c>
      <c r="P469" s="1">
        <v>1</v>
      </c>
      <c r="Q469" s="3"/>
      <c r="R469" s="3"/>
      <c r="S469" s="3">
        <v>5000</v>
      </c>
      <c r="T469" s="1">
        <v>0.79726030000000003</v>
      </c>
      <c r="U469" s="3"/>
      <c r="V469" s="3"/>
      <c r="X469" s="1">
        <v>5000</v>
      </c>
      <c r="Y469" s="22">
        <v>0.79726030000000003</v>
      </c>
      <c r="Z469" s="4">
        <f>Table1[[#This Row],[totalTimeKept]]*$AD$3</f>
        <v>11958.904500000001</v>
      </c>
      <c r="AA469" s="4">
        <f>Y469-Z469</f>
        <v>-11958.107239700001</v>
      </c>
    </row>
    <row r="470" spans="1:27" x14ac:dyDescent="0.3">
      <c r="A470" s="1">
        <v>10099623</v>
      </c>
      <c r="B470" s="1" t="s">
        <v>803</v>
      </c>
      <c r="C470" s="1" t="s">
        <v>71</v>
      </c>
      <c r="D470" s="1">
        <v>5309891</v>
      </c>
      <c r="E470" s="1">
        <v>0</v>
      </c>
      <c r="F470" s="1" t="s">
        <v>25</v>
      </c>
      <c r="G470" s="1" t="s">
        <v>349</v>
      </c>
      <c r="H470" s="2">
        <v>42487</v>
      </c>
      <c r="I470" s="1" t="s">
        <v>25</v>
      </c>
      <c r="J470" s="2">
        <v>42685</v>
      </c>
      <c r="K470" s="3"/>
      <c r="L470" s="3">
        <v>65000</v>
      </c>
      <c r="M470" s="3">
        <v>65000</v>
      </c>
      <c r="N470" s="1">
        <v>1</v>
      </c>
      <c r="O470" s="1">
        <v>0</v>
      </c>
      <c r="P470" s="1">
        <v>1</v>
      </c>
      <c r="Q470" s="3"/>
      <c r="R470" s="3"/>
      <c r="S470" s="3">
        <v>65000</v>
      </c>
      <c r="T470" s="1">
        <v>0.54246570000000005</v>
      </c>
      <c r="U470" s="3"/>
      <c r="V470" s="3"/>
      <c r="X470" s="1">
        <v>65000</v>
      </c>
      <c r="Y470" s="22">
        <v>0.54246570000000005</v>
      </c>
      <c r="Z470" s="4">
        <f>Table1[[#This Row],[totalTimeKept]]*$AD$3</f>
        <v>8136.9855000000007</v>
      </c>
      <c r="AA470" s="4">
        <f>Y470-Z470</f>
        <v>-8136.4430343000004</v>
      </c>
    </row>
    <row r="471" spans="1:27" x14ac:dyDescent="0.3">
      <c r="A471" s="1">
        <v>10100527</v>
      </c>
      <c r="B471" s="1" t="s">
        <v>804</v>
      </c>
      <c r="C471" s="1" t="s">
        <v>805</v>
      </c>
      <c r="D471" s="1">
        <v>8113165</v>
      </c>
      <c r="E471" s="1">
        <v>12400</v>
      </c>
      <c r="F471" s="1" t="s">
        <v>139</v>
      </c>
      <c r="G471" s="1" t="s">
        <v>25</v>
      </c>
      <c r="H471" s="2">
        <v>42468</v>
      </c>
      <c r="I471" s="2">
        <v>43774</v>
      </c>
      <c r="J471" s="2" t="s">
        <v>25</v>
      </c>
      <c r="K471" s="3">
        <v>175000</v>
      </c>
      <c r="L471" s="3"/>
      <c r="M471" s="3">
        <v>-175000</v>
      </c>
      <c r="N471" s="1">
        <v>0</v>
      </c>
      <c r="O471" s="1">
        <v>1</v>
      </c>
      <c r="P471" s="1">
        <v>0</v>
      </c>
      <c r="Q471" s="3">
        <v>327737.2</v>
      </c>
      <c r="R471" s="3"/>
      <c r="S471" s="3">
        <v>-490337.2</v>
      </c>
      <c r="T471" s="1">
        <v>5.2904109999999998</v>
      </c>
      <c r="U471" s="3">
        <v>65000</v>
      </c>
      <c r="V471" s="3">
        <v>0</v>
      </c>
      <c r="W471" s="1">
        <v>1.5424659999999999</v>
      </c>
      <c r="X471" s="1">
        <v>-425337.2</v>
      </c>
      <c r="Y471" s="22">
        <v>6.8328769999999999</v>
      </c>
      <c r="Z471" s="4">
        <f>Table1[[#This Row],[totalTimeKept]]*$AD$3</f>
        <v>102493.155</v>
      </c>
      <c r="AA471" s="4">
        <f>Y471-Z471</f>
        <v>-102486.32212300001</v>
      </c>
    </row>
    <row r="472" spans="1:27" x14ac:dyDescent="0.3">
      <c r="A472" s="1">
        <v>10101455</v>
      </c>
      <c r="B472" s="1" t="s">
        <v>806</v>
      </c>
      <c r="C472" s="1" t="s">
        <v>622</v>
      </c>
      <c r="D472" s="1">
        <v>8067432</v>
      </c>
      <c r="E472" s="1">
        <v>0</v>
      </c>
      <c r="F472" s="1" t="s">
        <v>25</v>
      </c>
      <c r="G472" s="1" t="s">
        <v>349</v>
      </c>
      <c r="H472" s="2">
        <v>42472</v>
      </c>
      <c r="I472" s="1" t="s">
        <v>25</v>
      </c>
      <c r="J472" s="2">
        <v>42684</v>
      </c>
      <c r="K472" s="3"/>
      <c r="L472" s="3">
        <v>210000</v>
      </c>
      <c r="M472" s="3">
        <v>210000</v>
      </c>
      <c r="N472" s="1">
        <v>1</v>
      </c>
      <c r="O472" s="1">
        <v>0</v>
      </c>
      <c r="P472" s="1">
        <v>1</v>
      </c>
      <c r="Q472" s="3"/>
      <c r="R472" s="3"/>
      <c r="S472" s="3">
        <v>210000</v>
      </c>
      <c r="T472" s="1">
        <v>0.5808219</v>
      </c>
      <c r="U472" s="3"/>
      <c r="V472" s="3"/>
      <c r="X472" s="1">
        <v>210000</v>
      </c>
      <c r="Y472" s="22">
        <v>0.5808219</v>
      </c>
      <c r="Z472" s="4">
        <f>Table1[[#This Row],[totalTimeKept]]*$AD$3</f>
        <v>8712.3284999999996</v>
      </c>
      <c r="AA472" s="4">
        <f>Y472-Z472</f>
        <v>-8711.7476781000005</v>
      </c>
    </row>
    <row r="473" spans="1:27" x14ac:dyDescent="0.3">
      <c r="A473" s="1">
        <v>10101460</v>
      </c>
      <c r="B473" s="1" t="s">
        <v>807</v>
      </c>
      <c r="C473" s="1" t="s">
        <v>40</v>
      </c>
      <c r="D473" s="1">
        <v>4297755</v>
      </c>
      <c r="E473" s="1">
        <v>0</v>
      </c>
      <c r="F473" s="1" t="s">
        <v>25</v>
      </c>
      <c r="G473" s="1" t="s">
        <v>349</v>
      </c>
      <c r="H473" s="2">
        <v>42474</v>
      </c>
      <c r="I473" s="1" t="s">
        <v>25</v>
      </c>
      <c r="J473" s="2">
        <v>42682</v>
      </c>
      <c r="K473" s="3"/>
      <c r="L473" s="3">
        <v>235000</v>
      </c>
      <c r="M473" s="3">
        <v>235000</v>
      </c>
      <c r="N473" s="1">
        <v>1</v>
      </c>
      <c r="O473" s="1">
        <v>0</v>
      </c>
      <c r="P473" s="1">
        <v>1</v>
      </c>
      <c r="Q473" s="3"/>
      <c r="R473" s="3"/>
      <c r="S473" s="3">
        <v>235000</v>
      </c>
      <c r="T473" s="1">
        <v>0.56986300000000001</v>
      </c>
      <c r="U473" s="3"/>
      <c r="V473" s="3"/>
      <c r="X473" s="1">
        <v>235000</v>
      </c>
      <c r="Y473" s="22">
        <v>0.56986300000000001</v>
      </c>
      <c r="Z473" s="4">
        <f>Table1[[#This Row],[totalTimeKept]]*$AD$3</f>
        <v>8547.9449999999997</v>
      </c>
      <c r="AA473" s="4">
        <f>Y473-Z473</f>
        <v>-8547.3751369999991</v>
      </c>
    </row>
    <row r="474" spans="1:27" x14ac:dyDescent="0.3">
      <c r="A474" s="1">
        <v>10101487</v>
      </c>
      <c r="B474" s="1" t="s">
        <v>808</v>
      </c>
      <c r="C474" s="1" t="s">
        <v>348</v>
      </c>
      <c r="D474" s="1">
        <v>7778152</v>
      </c>
      <c r="E474" s="1">
        <v>0</v>
      </c>
      <c r="F474" s="1" t="s">
        <v>25</v>
      </c>
      <c r="G474" s="1" t="s">
        <v>349</v>
      </c>
      <c r="H474" s="2">
        <v>42474</v>
      </c>
      <c r="I474" s="1" t="s">
        <v>25</v>
      </c>
      <c r="J474" s="2">
        <v>42689</v>
      </c>
      <c r="K474" s="3"/>
      <c r="L474" s="3">
        <v>30000</v>
      </c>
      <c r="M474" s="3">
        <v>30000</v>
      </c>
      <c r="N474" s="1">
        <v>1</v>
      </c>
      <c r="O474" s="1">
        <v>0</v>
      </c>
      <c r="P474" s="1">
        <v>1</v>
      </c>
      <c r="Q474" s="3"/>
      <c r="R474" s="3"/>
      <c r="S474" s="3">
        <v>30000</v>
      </c>
      <c r="T474" s="1">
        <v>0.58904109999999998</v>
      </c>
      <c r="U474" s="3"/>
      <c r="V474" s="3"/>
      <c r="X474" s="1">
        <v>30000</v>
      </c>
      <c r="Y474" s="22">
        <v>0.58904109999999998</v>
      </c>
      <c r="Z474" s="4">
        <f>Table1[[#This Row],[totalTimeKept]]*$AD$3</f>
        <v>8835.6165000000001</v>
      </c>
      <c r="AA474" s="4">
        <f>Y474-Z474</f>
        <v>-8835.0274589000001</v>
      </c>
    </row>
    <row r="475" spans="1:27" x14ac:dyDescent="0.3">
      <c r="A475" s="1">
        <v>10101492</v>
      </c>
      <c r="B475" s="1" t="s">
        <v>809</v>
      </c>
      <c r="C475" s="1" t="s">
        <v>53</v>
      </c>
      <c r="D475" s="1">
        <v>4530465</v>
      </c>
      <c r="E475" s="1">
        <v>0</v>
      </c>
      <c r="F475" s="1" t="s">
        <v>25</v>
      </c>
      <c r="G475" s="1" t="s">
        <v>349</v>
      </c>
      <c r="H475" s="2">
        <v>42477</v>
      </c>
      <c r="I475" s="1" t="s">
        <v>25</v>
      </c>
      <c r="J475" s="2">
        <v>42688</v>
      </c>
      <c r="K475" s="3"/>
      <c r="L475" s="3">
        <v>30000</v>
      </c>
      <c r="M475" s="3">
        <v>30000</v>
      </c>
      <c r="N475" s="1">
        <v>1</v>
      </c>
      <c r="O475" s="1">
        <v>0</v>
      </c>
      <c r="P475" s="1">
        <v>1</v>
      </c>
      <c r="Q475" s="3"/>
      <c r="R475" s="3"/>
      <c r="S475" s="3">
        <v>30000</v>
      </c>
      <c r="T475" s="1">
        <v>0.57808219999999999</v>
      </c>
      <c r="U475" s="3"/>
      <c r="V475" s="3"/>
      <c r="X475" s="1">
        <v>30000</v>
      </c>
      <c r="Y475" s="22">
        <v>0.57808219999999999</v>
      </c>
      <c r="Z475" s="4">
        <f>Table1[[#This Row],[totalTimeKept]]*$AD$3</f>
        <v>8671.2330000000002</v>
      </c>
      <c r="AA475" s="4">
        <f>Y475-Z475</f>
        <v>-8670.6549178000005</v>
      </c>
    </row>
    <row r="476" spans="1:27" x14ac:dyDescent="0.3">
      <c r="A476" s="1">
        <v>10101502</v>
      </c>
      <c r="B476" s="1" t="s">
        <v>810</v>
      </c>
      <c r="C476" s="1" t="s">
        <v>477</v>
      </c>
      <c r="D476" s="1">
        <v>6909698</v>
      </c>
      <c r="E476" s="1">
        <v>0</v>
      </c>
      <c r="F476" s="1" t="s">
        <v>25</v>
      </c>
      <c r="G476" s="1" t="s">
        <v>46</v>
      </c>
      <c r="H476" s="2">
        <v>42477</v>
      </c>
      <c r="I476" s="1" t="s">
        <v>25</v>
      </c>
      <c r="J476" s="2">
        <v>42989</v>
      </c>
      <c r="K476" s="3"/>
      <c r="L476" s="3">
        <v>350000</v>
      </c>
      <c r="M476" s="3">
        <v>350000</v>
      </c>
      <c r="N476" s="1">
        <v>1</v>
      </c>
      <c r="O476" s="1">
        <v>0</v>
      </c>
      <c r="P476" s="1">
        <v>1</v>
      </c>
      <c r="Q476" s="3"/>
      <c r="R476" s="3"/>
      <c r="S476" s="3">
        <v>350000</v>
      </c>
      <c r="T476" s="1">
        <v>1.4027400000000001</v>
      </c>
      <c r="U476" s="3"/>
      <c r="V476" s="3"/>
      <c r="X476" s="1">
        <v>350000</v>
      </c>
      <c r="Y476" s="22">
        <v>1.4027400000000001</v>
      </c>
      <c r="Z476" s="4">
        <f>Table1[[#This Row],[totalTimeKept]]*$AD$3</f>
        <v>21041.100000000002</v>
      </c>
      <c r="AA476" s="4">
        <f>Y476-Z476</f>
        <v>-21039.697260000001</v>
      </c>
    </row>
    <row r="477" spans="1:27" x14ac:dyDescent="0.3">
      <c r="A477" s="1">
        <v>10101505</v>
      </c>
      <c r="B477" s="1" t="s">
        <v>811</v>
      </c>
      <c r="C477" s="1" t="s">
        <v>288</v>
      </c>
      <c r="D477" s="1">
        <v>8546972</v>
      </c>
      <c r="E477" s="1">
        <v>0</v>
      </c>
      <c r="F477" s="1" t="s">
        <v>25</v>
      </c>
      <c r="G477" s="1" t="s">
        <v>25</v>
      </c>
      <c r="H477" s="2">
        <v>42480</v>
      </c>
      <c r="I477" s="1" t="s">
        <v>25</v>
      </c>
      <c r="J477" s="2" t="s">
        <v>25</v>
      </c>
      <c r="K477" s="3"/>
      <c r="L477" s="3"/>
      <c r="M477" s="3">
        <v>0</v>
      </c>
      <c r="N477" s="1">
        <v>1</v>
      </c>
      <c r="P477" s="1">
        <v>0</v>
      </c>
      <c r="Q477" s="3">
        <v>45000</v>
      </c>
      <c r="R477" s="3"/>
      <c r="S477" s="3">
        <v>-45000</v>
      </c>
      <c r="T477" s="1">
        <v>8.8356159999999999</v>
      </c>
      <c r="U477" s="3"/>
      <c r="V477" s="3"/>
      <c r="X477" s="1">
        <v>-45000</v>
      </c>
      <c r="Y477" s="22">
        <v>8.8356159999999999</v>
      </c>
      <c r="Z477" s="4">
        <f>Table1[[#This Row],[totalTimeKept]]*$AD$3</f>
        <v>132534.24</v>
      </c>
      <c r="AA477" s="4">
        <f>Y477-Z477</f>
        <v>-132525.40438399999</v>
      </c>
    </row>
    <row r="478" spans="1:27" x14ac:dyDescent="0.3">
      <c r="A478" s="1">
        <v>10101510</v>
      </c>
      <c r="B478" s="1" t="s">
        <v>812</v>
      </c>
      <c r="C478" s="1" t="s">
        <v>673</v>
      </c>
      <c r="D478" s="1">
        <v>8575239</v>
      </c>
      <c r="E478" s="1">
        <v>0</v>
      </c>
      <c r="F478" s="1" t="s">
        <v>25</v>
      </c>
      <c r="G478" s="1" t="s">
        <v>46</v>
      </c>
      <c r="H478" s="2">
        <v>42484</v>
      </c>
      <c r="I478" s="1" t="s">
        <v>25</v>
      </c>
      <c r="J478" s="2">
        <v>42744</v>
      </c>
      <c r="K478" s="3"/>
      <c r="L478" s="3">
        <v>175000</v>
      </c>
      <c r="M478" s="3">
        <v>175000</v>
      </c>
      <c r="N478" s="1">
        <v>1</v>
      </c>
      <c r="O478" s="1">
        <v>0</v>
      </c>
      <c r="P478" s="1">
        <v>1</v>
      </c>
      <c r="Q478" s="3"/>
      <c r="R478" s="3"/>
      <c r="S478" s="3">
        <v>175000</v>
      </c>
      <c r="T478" s="1">
        <v>0.71232879999999998</v>
      </c>
      <c r="U478" s="3"/>
      <c r="V478" s="3"/>
      <c r="X478" s="1">
        <v>175000</v>
      </c>
      <c r="Y478" s="22">
        <v>0.71232879999999998</v>
      </c>
      <c r="Z478" s="4">
        <f>Table1[[#This Row],[totalTimeKept]]*$AD$3</f>
        <v>10684.931999999999</v>
      </c>
      <c r="AA478" s="4">
        <f>Y478-Z478</f>
        <v>-10684.219671199999</v>
      </c>
    </row>
    <row r="479" spans="1:27" x14ac:dyDescent="0.3">
      <c r="A479" s="1">
        <v>10101512</v>
      </c>
      <c r="B479" s="1" t="s">
        <v>813</v>
      </c>
      <c r="C479" s="1" t="s">
        <v>201</v>
      </c>
      <c r="D479" s="1">
        <v>7742433</v>
      </c>
      <c r="E479" s="1">
        <v>0</v>
      </c>
      <c r="F479" s="1" t="s">
        <v>25</v>
      </c>
      <c r="G479" s="1" t="s">
        <v>349</v>
      </c>
      <c r="H479" s="2">
        <v>42486</v>
      </c>
      <c r="I479" s="1" t="s">
        <v>25</v>
      </c>
      <c r="J479" s="2">
        <v>42685</v>
      </c>
      <c r="K479" s="3"/>
      <c r="L479" s="3">
        <v>150000</v>
      </c>
      <c r="M479" s="3">
        <v>150000</v>
      </c>
      <c r="N479" s="1">
        <v>1</v>
      </c>
      <c r="O479" s="1">
        <v>0</v>
      </c>
      <c r="P479" s="1">
        <v>1</v>
      </c>
      <c r="Q479" s="3"/>
      <c r="R479" s="3"/>
      <c r="S479" s="3">
        <v>150000</v>
      </c>
      <c r="T479" s="1">
        <v>0.54520550000000001</v>
      </c>
      <c r="U479" s="3"/>
      <c r="V479" s="3"/>
      <c r="X479" s="1">
        <v>150000</v>
      </c>
      <c r="Y479" s="22">
        <v>0.54520550000000001</v>
      </c>
      <c r="Z479" s="4">
        <f>Table1[[#This Row],[totalTimeKept]]*$AD$3</f>
        <v>8178.0825000000004</v>
      </c>
      <c r="AA479" s="4">
        <f>Y479-Z479</f>
        <v>-8177.5372945000008</v>
      </c>
    </row>
    <row r="480" spans="1:27" x14ac:dyDescent="0.3">
      <c r="A480" s="1">
        <v>10104744</v>
      </c>
      <c r="B480" s="1" t="s">
        <v>814</v>
      </c>
      <c r="C480" s="1" t="s">
        <v>83</v>
      </c>
      <c r="D480" s="1">
        <v>6045403</v>
      </c>
      <c r="E480" s="1">
        <v>0</v>
      </c>
      <c r="F480" s="1" t="s">
        <v>25</v>
      </c>
      <c r="G480" s="1" t="s">
        <v>349</v>
      </c>
      <c r="H480" s="2">
        <v>42503</v>
      </c>
      <c r="I480" s="1" t="s">
        <v>25</v>
      </c>
      <c r="J480" s="2">
        <v>42686</v>
      </c>
      <c r="K480" s="3"/>
      <c r="L480" s="3">
        <v>120000</v>
      </c>
      <c r="M480" s="3">
        <v>120000</v>
      </c>
      <c r="N480" s="1">
        <v>1</v>
      </c>
      <c r="O480" s="1">
        <v>0</v>
      </c>
      <c r="P480" s="1">
        <v>1</v>
      </c>
      <c r="Q480" s="3"/>
      <c r="R480" s="3"/>
      <c r="S480" s="3">
        <v>120000</v>
      </c>
      <c r="T480" s="1">
        <v>0.50136979999999998</v>
      </c>
      <c r="U480" s="3"/>
      <c r="V480" s="3"/>
      <c r="X480" s="1">
        <v>120000</v>
      </c>
      <c r="Y480" s="22">
        <v>0.50136979999999998</v>
      </c>
      <c r="Z480" s="4">
        <f>Table1[[#This Row],[totalTimeKept]]*$AD$3</f>
        <v>7520.5469999999996</v>
      </c>
      <c r="AA480" s="4">
        <f>Y480-Z480</f>
        <v>-7520.0456301999993</v>
      </c>
    </row>
    <row r="481" spans="1:27" x14ac:dyDescent="0.3">
      <c r="A481" s="1">
        <v>10104746</v>
      </c>
      <c r="B481" s="1" t="s">
        <v>815</v>
      </c>
      <c r="C481" s="1" t="s">
        <v>542</v>
      </c>
      <c r="D481" s="1">
        <v>6351855</v>
      </c>
      <c r="E481" s="1">
        <v>0</v>
      </c>
      <c r="F481" s="1" t="s">
        <v>25</v>
      </c>
      <c r="G481" s="1" t="s">
        <v>25</v>
      </c>
      <c r="H481" s="2">
        <v>42465</v>
      </c>
      <c r="I481" s="2" t="s">
        <v>25</v>
      </c>
      <c r="J481" s="2" t="s">
        <v>25</v>
      </c>
      <c r="K481" s="3"/>
      <c r="L481" s="3"/>
      <c r="M481" s="3">
        <v>0</v>
      </c>
      <c r="N481" s="1">
        <v>1</v>
      </c>
      <c r="P481" s="1">
        <v>0</v>
      </c>
      <c r="Q481" s="3"/>
      <c r="R481" s="3"/>
      <c r="S481" s="3">
        <v>0</v>
      </c>
      <c r="T481" s="1">
        <v>8.8767130000000005</v>
      </c>
      <c r="U481" s="3"/>
      <c r="V481" s="3"/>
      <c r="X481" s="1">
        <v>0</v>
      </c>
      <c r="Y481" s="22">
        <v>8.8767130000000005</v>
      </c>
      <c r="Z481" s="4">
        <f>Table1[[#This Row],[totalTimeKept]]*$AD$3</f>
        <v>133150.69500000001</v>
      </c>
      <c r="AA481" s="4">
        <f>Y481-Z481</f>
        <v>-133141.818287</v>
      </c>
    </row>
    <row r="482" spans="1:27" x14ac:dyDescent="0.3">
      <c r="A482" s="1">
        <v>10104751</v>
      </c>
      <c r="B482" s="1" t="s">
        <v>816</v>
      </c>
      <c r="C482" s="1" t="s">
        <v>817</v>
      </c>
      <c r="D482" s="1">
        <v>7267662</v>
      </c>
      <c r="E482" s="1">
        <v>0</v>
      </c>
      <c r="F482" s="1" t="s">
        <v>25</v>
      </c>
      <c r="G482" s="1" t="s">
        <v>46</v>
      </c>
      <c r="H482" s="2">
        <v>42451</v>
      </c>
      <c r="I482" s="1" t="s">
        <v>25</v>
      </c>
      <c r="J482" s="2">
        <v>42773</v>
      </c>
      <c r="K482" s="3"/>
      <c r="L482" s="3">
        <v>2000</v>
      </c>
      <c r="M482" s="3">
        <v>2000</v>
      </c>
      <c r="N482" s="1">
        <v>1</v>
      </c>
      <c r="O482" s="1">
        <v>0</v>
      </c>
      <c r="P482" s="1">
        <v>1</v>
      </c>
      <c r="Q482" s="3"/>
      <c r="R482" s="3"/>
      <c r="S482" s="3">
        <v>2000</v>
      </c>
      <c r="T482" s="1">
        <v>0.88219179999999997</v>
      </c>
      <c r="U482" s="3"/>
      <c r="V482" s="3"/>
      <c r="X482" s="1">
        <v>2000</v>
      </c>
      <c r="Y482" s="22">
        <v>0.88219179999999997</v>
      </c>
      <c r="Z482" s="4">
        <f>Table1[[#This Row],[totalTimeKept]]*$AD$3</f>
        <v>13232.877</v>
      </c>
      <c r="AA482" s="4">
        <f>Y482-Z482</f>
        <v>-13231.994808200001</v>
      </c>
    </row>
    <row r="483" spans="1:27" x14ac:dyDescent="0.3">
      <c r="A483" s="1">
        <v>10104755</v>
      </c>
      <c r="B483" s="1" t="s">
        <v>818</v>
      </c>
      <c r="C483" s="1" t="s">
        <v>225</v>
      </c>
      <c r="D483" s="1">
        <v>7996279</v>
      </c>
      <c r="E483" s="1">
        <v>0</v>
      </c>
      <c r="F483" s="1" t="s">
        <v>25</v>
      </c>
      <c r="G483" s="1" t="s">
        <v>349</v>
      </c>
      <c r="H483" s="2">
        <v>42410</v>
      </c>
      <c r="I483" s="2" t="s">
        <v>25</v>
      </c>
      <c r="J483" s="2">
        <v>42685</v>
      </c>
      <c r="K483" s="3"/>
      <c r="L483" s="3">
        <v>350000</v>
      </c>
      <c r="M483" s="3">
        <v>350000</v>
      </c>
      <c r="N483" s="1">
        <v>1</v>
      </c>
      <c r="O483" s="1">
        <v>0</v>
      </c>
      <c r="P483" s="1">
        <v>1</v>
      </c>
      <c r="Q483" s="3"/>
      <c r="R483" s="3"/>
      <c r="S483" s="3">
        <v>350000</v>
      </c>
      <c r="T483" s="1">
        <v>0.7534246</v>
      </c>
      <c r="U483" s="3"/>
      <c r="V483" s="3"/>
      <c r="X483" s="1">
        <v>350000</v>
      </c>
      <c r="Y483" s="22">
        <v>0.7534246</v>
      </c>
      <c r="Z483" s="4">
        <f>Table1[[#This Row],[totalTimeKept]]*$AD$3</f>
        <v>11301.369000000001</v>
      </c>
      <c r="AA483" s="4">
        <f>Y483-Z483</f>
        <v>-11300.615575400001</v>
      </c>
    </row>
    <row r="484" spans="1:27" x14ac:dyDescent="0.3">
      <c r="A484" s="1">
        <v>10104756</v>
      </c>
      <c r="B484" s="1" t="s">
        <v>819</v>
      </c>
      <c r="C484" s="1" t="s">
        <v>195</v>
      </c>
      <c r="D484" s="1">
        <v>7728149</v>
      </c>
      <c r="E484" s="1">
        <v>0</v>
      </c>
      <c r="F484" s="1" t="s">
        <v>25</v>
      </c>
      <c r="G484" s="1" t="s">
        <v>46</v>
      </c>
      <c r="H484" s="2">
        <v>42507</v>
      </c>
      <c r="I484" s="1" t="s">
        <v>25</v>
      </c>
      <c r="J484" s="2">
        <v>42773</v>
      </c>
      <c r="K484" s="3"/>
      <c r="L484" s="3">
        <v>60000</v>
      </c>
      <c r="M484" s="3">
        <v>60000</v>
      </c>
      <c r="N484" s="1">
        <v>1</v>
      </c>
      <c r="O484" s="1">
        <v>0</v>
      </c>
      <c r="P484" s="1">
        <v>1</v>
      </c>
      <c r="Q484" s="3"/>
      <c r="R484" s="3"/>
      <c r="S484" s="3">
        <v>60000</v>
      </c>
      <c r="T484" s="1">
        <v>0.7287671</v>
      </c>
      <c r="U484" s="3"/>
      <c r="V484" s="3"/>
      <c r="X484" s="1">
        <v>60000</v>
      </c>
      <c r="Y484" s="22">
        <v>0.7287671</v>
      </c>
      <c r="Z484" s="4">
        <f>Table1[[#This Row],[totalTimeKept]]*$AD$3</f>
        <v>10931.5065</v>
      </c>
      <c r="AA484" s="4">
        <f>Y484-Z484</f>
        <v>-10930.7777329</v>
      </c>
    </row>
    <row r="485" spans="1:27" x14ac:dyDescent="0.3">
      <c r="A485" s="1">
        <v>10104778</v>
      </c>
      <c r="B485" s="1" t="s">
        <v>820</v>
      </c>
      <c r="C485" s="1" t="s">
        <v>821</v>
      </c>
      <c r="D485" s="1">
        <v>5353547</v>
      </c>
      <c r="E485" s="1">
        <v>0</v>
      </c>
      <c r="F485" s="1" t="s">
        <v>25</v>
      </c>
      <c r="G485" s="1" t="s">
        <v>349</v>
      </c>
      <c r="H485" s="2">
        <v>42450</v>
      </c>
      <c r="I485" s="1" t="s">
        <v>25</v>
      </c>
      <c r="J485" s="2">
        <v>42684</v>
      </c>
      <c r="K485" s="3"/>
      <c r="L485" s="3">
        <v>190000</v>
      </c>
      <c r="M485" s="3">
        <v>190000</v>
      </c>
      <c r="N485" s="1">
        <v>1</v>
      </c>
      <c r="O485" s="1">
        <v>0</v>
      </c>
      <c r="P485" s="1">
        <v>1</v>
      </c>
      <c r="Q485" s="3"/>
      <c r="R485" s="3"/>
      <c r="S485" s="3">
        <v>190000</v>
      </c>
      <c r="T485" s="1">
        <v>0.64109590000000005</v>
      </c>
      <c r="U485" s="3"/>
      <c r="V485" s="3"/>
      <c r="X485" s="1">
        <v>190000</v>
      </c>
      <c r="Y485" s="22">
        <v>0.64109590000000005</v>
      </c>
      <c r="Z485" s="4">
        <f>Table1[[#This Row],[totalTimeKept]]*$AD$3</f>
        <v>9616.4385000000002</v>
      </c>
      <c r="AA485" s="4">
        <f>Y485-Z485</f>
        <v>-9615.7974040999998</v>
      </c>
    </row>
    <row r="486" spans="1:27" x14ac:dyDescent="0.3">
      <c r="A486" s="1">
        <v>10104783</v>
      </c>
      <c r="B486" s="1" t="s">
        <v>822</v>
      </c>
      <c r="C486" s="1" t="s">
        <v>47</v>
      </c>
      <c r="D486" s="1">
        <v>4494884</v>
      </c>
      <c r="E486" s="1">
        <v>0</v>
      </c>
      <c r="F486" s="1" t="s">
        <v>25</v>
      </c>
      <c r="G486" s="1" t="s">
        <v>24</v>
      </c>
      <c r="H486" s="2">
        <v>42412</v>
      </c>
      <c r="I486" s="1" t="s">
        <v>25</v>
      </c>
      <c r="J486" s="2">
        <v>44147</v>
      </c>
      <c r="K486" s="3"/>
      <c r="L486" s="3">
        <v>20000</v>
      </c>
      <c r="M486" s="3">
        <v>20000</v>
      </c>
      <c r="N486" s="1">
        <v>1</v>
      </c>
      <c r="O486" s="1">
        <v>0</v>
      </c>
      <c r="P486" s="1">
        <v>1</v>
      </c>
      <c r="Q486" s="3">
        <v>20000</v>
      </c>
      <c r="R486" s="3"/>
      <c r="S486" s="3">
        <v>0</v>
      </c>
      <c r="T486" s="1">
        <v>4.753425</v>
      </c>
      <c r="U486" s="3"/>
      <c r="V486" s="3"/>
      <c r="X486" s="1">
        <v>0</v>
      </c>
      <c r="Y486" s="22">
        <v>4.753425</v>
      </c>
      <c r="Z486" s="4">
        <f>Table1[[#This Row],[totalTimeKept]]*$AD$3</f>
        <v>71301.375</v>
      </c>
      <c r="AA486" s="4">
        <f>Y486-Z486</f>
        <v>-71296.621574999997</v>
      </c>
    </row>
    <row r="487" spans="1:27" x14ac:dyDescent="0.3">
      <c r="A487" s="1">
        <v>10104790</v>
      </c>
      <c r="B487" s="1" t="s">
        <v>823</v>
      </c>
      <c r="C487" s="1" t="s">
        <v>77</v>
      </c>
      <c r="D487" s="1">
        <v>5352492</v>
      </c>
      <c r="E487" s="1">
        <v>0</v>
      </c>
      <c r="F487" s="1" t="s">
        <v>25</v>
      </c>
      <c r="G487" s="1" t="s">
        <v>349</v>
      </c>
      <c r="H487" s="2">
        <v>42429</v>
      </c>
      <c r="I487" s="1" t="s">
        <v>25</v>
      </c>
      <c r="J487" s="2">
        <v>42682</v>
      </c>
      <c r="K487" s="3"/>
      <c r="L487" s="3">
        <v>250000</v>
      </c>
      <c r="M487" s="3">
        <v>250000</v>
      </c>
      <c r="N487" s="1">
        <v>1</v>
      </c>
      <c r="O487" s="1">
        <v>0</v>
      </c>
      <c r="P487" s="1">
        <v>1</v>
      </c>
      <c r="Q487" s="3"/>
      <c r="R487" s="3"/>
      <c r="S487" s="3">
        <v>250000</v>
      </c>
      <c r="T487" s="1">
        <v>0.69315070000000001</v>
      </c>
      <c r="U487" s="3"/>
      <c r="V487" s="3"/>
      <c r="X487" s="1">
        <v>250000</v>
      </c>
      <c r="Y487" s="22">
        <v>0.69315070000000001</v>
      </c>
      <c r="Z487" s="4">
        <f>Table1[[#This Row],[totalTimeKept]]*$AD$3</f>
        <v>10397.2605</v>
      </c>
      <c r="AA487" s="4">
        <f>Y487-Z487</f>
        <v>-10396.567349299999</v>
      </c>
    </row>
    <row r="488" spans="1:27" x14ac:dyDescent="0.3">
      <c r="A488" s="1">
        <v>10106085</v>
      </c>
      <c r="B488" s="1" t="s">
        <v>824</v>
      </c>
      <c r="C488" s="1" t="s">
        <v>825</v>
      </c>
      <c r="D488" s="1">
        <v>8553680</v>
      </c>
      <c r="E488" s="1">
        <v>0</v>
      </c>
      <c r="F488" s="1" t="s">
        <v>139</v>
      </c>
      <c r="G488" s="1" t="s">
        <v>24</v>
      </c>
      <c r="H488" s="2">
        <v>42504</v>
      </c>
      <c r="I488" s="2">
        <v>44144</v>
      </c>
      <c r="J488" s="2">
        <v>44874</v>
      </c>
      <c r="K488" s="3">
        <v>90000</v>
      </c>
      <c r="L488" s="3">
        <v>500000</v>
      </c>
      <c r="M488" s="3">
        <v>410000</v>
      </c>
      <c r="N488" s="1">
        <v>0</v>
      </c>
      <c r="O488" s="1">
        <v>1</v>
      </c>
      <c r="P488" s="1">
        <v>1</v>
      </c>
      <c r="Q488" s="3">
        <v>40000</v>
      </c>
      <c r="R488" s="3"/>
      <c r="S488" s="3">
        <v>370000</v>
      </c>
      <c r="T488" s="1">
        <v>2</v>
      </c>
      <c r="U488" s="3"/>
      <c r="V488" s="3"/>
      <c r="X488" s="1">
        <v>370000</v>
      </c>
      <c r="Y488" s="22">
        <v>2</v>
      </c>
      <c r="Z488" s="4">
        <f>Table1[[#This Row],[totalTimeKept]]*$AD$3</f>
        <v>30000</v>
      </c>
      <c r="AA488" s="4">
        <f>Y488-Z488</f>
        <v>-29998</v>
      </c>
    </row>
    <row r="489" spans="1:27" x14ac:dyDescent="0.3">
      <c r="A489" s="1">
        <v>10110258</v>
      </c>
      <c r="B489" s="1" t="s">
        <v>826</v>
      </c>
      <c r="C489" s="1" t="s">
        <v>827</v>
      </c>
      <c r="D489" s="1">
        <v>8043604</v>
      </c>
      <c r="E489" s="1">
        <v>0</v>
      </c>
      <c r="F489" s="1" t="s">
        <v>139</v>
      </c>
      <c r="G489" s="1" t="s">
        <v>24</v>
      </c>
      <c r="H489" s="2">
        <v>42512</v>
      </c>
      <c r="I489" s="2">
        <v>44572</v>
      </c>
      <c r="J489" s="2">
        <v>45071</v>
      </c>
      <c r="K489" s="3">
        <v>300000</v>
      </c>
      <c r="L489" s="3">
        <v>347006</v>
      </c>
      <c r="M489" s="3">
        <v>47006</v>
      </c>
      <c r="N489" s="1">
        <v>0</v>
      </c>
      <c r="O489" s="1">
        <v>1</v>
      </c>
      <c r="P489" s="1">
        <v>1</v>
      </c>
      <c r="Q489" s="3">
        <v>151555.5</v>
      </c>
      <c r="R489" s="3"/>
      <c r="S489" s="3">
        <v>-104549.5</v>
      </c>
      <c r="T489" s="1">
        <v>1.3671230000000001</v>
      </c>
      <c r="U489" s="3"/>
      <c r="V489" s="3"/>
      <c r="X489" s="1">
        <v>-104549.5</v>
      </c>
      <c r="Y489" s="22">
        <v>1.3671230000000001</v>
      </c>
      <c r="Z489" s="4">
        <f>Table1[[#This Row],[totalTimeKept]]*$AD$3</f>
        <v>20506.845000000001</v>
      </c>
      <c r="AA489" s="4">
        <f>Y489-Z489</f>
        <v>-20505.477877000001</v>
      </c>
    </row>
    <row r="490" spans="1:27" x14ac:dyDescent="0.3">
      <c r="A490" s="1">
        <v>10125707</v>
      </c>
      <c r="B490" s="1" t="s">
        <v>828</v>
      </c>
      <c r="C490" s="1" t="s">
        <v>829</v>
      </c>
      <c r="D490" s="1">
        <v>7163612</v>
      </c>
      <c r="E490" s="1">
        <v>0</v>
      </c>
      <c r="F490" s="1" t="s">
        <v>25</v>
      </c>
      <c r="G490" s="1" t="s">
        <v>46</v>
      </c>
      <c r="H490" s="2">
        <v>42491</v>
      </c>
      <c r="I490" s="1" t="s">
        <v>25</v>
      </c>
      <c r="J490" s="2">
        <v>42744</v>
      </c>
      <c r="K490" s="3"/>
      <c r="L490" s="3">
        <v>32000</v>
      </c>
      <c r="M490" s="3">
        <v>32000</v>
      </c>
      <c r="N490" s="1">
        <v>1</v>
      </c>
      <c r="O490" s="1">
        <v>0</v>
      </c>
      <c r="P490" s="1">
        <v>1</v>
      </c>
      <c r="Q490" s="3"/>
      <c r="R490" s="3"/>
      <c r="S490" s="3">
        <v>32000</v>
      </c>
      <c r="T490" s="1">
        <v>0.69315070000000001</v>
      </c>
      <c r="U490" s="3"/>
      <c r="V490" s="3"/>
      <c r="X490" s="1">
        <v>32000</v>
      </c>
      <c r="Y490" s="22">
        <v>0.69315070000000001</v>
      </c>
      <c r="Z490" s="4">
        <f>Table1[[#This Row],[totalTimeKept]]*$AD$3</f>
        <v>10397.2605</v>
      </c>
      <c r="AA490" s="4">
        <f>Y490-Z490</f>
        <v>-10396.567349299999</v>
      </c>
    </row>
    <row r="491" spans="1:27" x14ac:dyDescent="0.3">
      <c r="A491" s="1">
        <v>10127347</v>
      </c>
      <c r="B491" s="1" t="s">
        <v>830</v>
      </c>
      <c r="C491" s="1" t="s">
        <v>831</v>
      </c>
      <c r="D491" s="1">
        <v>7732831</v>
      </c>
      <c r="E491" s="1">
        <v>0</v>
      </c>
      <c r="F491" s="1" t="s">
        <v>24</v>
      </c>
      <c r="G491" s="1" t="s">
        <v>25</v>
      </c>
      <c r="H491" s="2">
        <v>42410</v>
      </c>
      <c r="I491" s="2">
        <v>44514</v>
      </c>
      <c r="J491" s="2" t="s">
        <v>25</v>
      </c>
      <c r="K491" s="3">
        <v>115000</v>
      </c>
      <c r="L491" s="3"/>
      <c r="M491" s="3">
        <v>-115000</v>
      </c>
      <c r="N491" s="1">
        <v>0</v>
      </c>
      <c r="O491" s="1">
        <v>1</v>
      </c>
      <c r="P491" s="1">
        <v>0</v>
      </c>
      <c r="Q491" s="3">
        <v>0</v>
      </c>
      <c r="R491" s="3"/>
      <c r="S491" s="3">
        <v>-115000</v>
      </c>
      <c r="T491" s="1">
        <v>3.2630140000000001</v>
      </c>
      <c r="U491" s="3">
        <v>350000</v>
      </c>
      <c r="V491" s="3">
        <v>0</v>
      </c>
      <c r="W491" s="1">
        <v>1.4438359999999999</v>
      </c>
      <c r="X491" s="1">
        <v>235000</v>
      </c>
      <c r="Y491" s="22">
        <v>4.7068490000000001</v>
      </c>
      <c r="Z491" s="4">
        <f>Table1[[#This Row],[totalTimeKept]]*$AD$3</f>
        <v>70602.735000000001</v>
      </c>
      <c r="AA491" s="4">
        <f>Y491-Z491</f>
        <v>-70598.028151000006</v>
      </c>
    </row>
    <row r="492" spans="1:27" x14ac:dyDescent="0.3">
      <c r="A492" s="1">
        <v>10131683</v>
      </c>
      <c r="B492" s="1" t="s">
        <v>832</v>
      </c>
      <c r="C492" s="1" t="s">
        <v>135</v>
      </c>
      <c r="D492" s="1">
        <v>7167356</v>
      </c>
      <c r="E492" s="1">
        <v>0</v>
      </c>
      <c r="F492" s="1" t="s">
        <v>25</v>
      </c>
      <c r="G492" s="1" t="s">
        <v>46</v>
      </c>
      <c r="H492" s="2">
        <v>42422</v>
      </c>
      <c r="I492" s="2" t="s">
        <v>25</v>
      </c>
      <c r="J492" s="2">
        <v>42992</v>
      </c>
      <c r="K492" s="3"/>
      <c r="L492" s="3">
        <v>175000</v>
      </c>
      <c r="M492" s="3">
        <v>175000</v>
      </c>
      <c r="N492" s="1">
        <v>1</v>
      </c>
      <c r="O492" s="1">
        <v>0</v>
      </c>
      <c r="P492" s="1">
        <v>1</v>
      </c>
      <c r="Q492" s="3"/>
      <c r="R492" s="3"/>
      <c r="S492" s="3">
        <v>175000</v>
      </c>
      <c r="T492" s="1">
        <v>1.561644</v>
      </c>
      <c r="U492" s="3"/>
      <c r="V492" s="3"/>
      <c r="X492" s="1">
        <v>175000</v>
      </c>
      <c r="Y492" s="22">
        <v>1.561644</v>
      </c>
      <c r="Z492" s="4">
        <f>Table1[[#This Row],[totalTimeKept]]*$AD$3</f>
        <v>23424.66</v>
      </c>
      <c r="AA492" s="4">
        <f>Y492-Z492</f>
        <v>-23423.098355999999</v>
      </c>
    </row>
    <row r="493" spans="1:27" x14ac:dyDescent="0.3">
      <c r="A493" s="1">
        <v>10131684</v>
      </c>
      <c r="B493" s="1" t="s">
        <v>833</v>
      </c>
      <c r="C493" s="1" t="s">
        <v>479</v>
      </c>
      <c r="D493" s="1">
        <v>7728446</v>
      </c>
      <c r="E493" s="1">
        <v>0</v>
      </c>
      <c r="F493" s="1" t="s">
        <v>25</v>
      </c>
      <c r="G493" s="1" t="s">
        <v>349</v>
      </c>
      <c r="H493" s="2">
        <v>42507</v>
      </c>
      <c r="I493" s="1" t="s">
        <v>25</v>
      </c>
      <c r="J493" s="2">
        <v>42682</v>
      </c>
      <c r="K493" s="3"/>
      <c r="L493" s="3">
        <v>260000</v>
      </c>
      <c r="M493" s="3">
        <v>260000</v>
      </c>
      <c r="N493" s="1">
        <v>1</v>
      </c>
      <c r="O493" s="1">
        <v>0</v>
      </c>
      <c r="P493" s="1">
        <v>1</v>
      </c>
      <c r="Q493" s="3"/>
      <c r="R493" s="3"/>
      <c r="S493" s="3">
        <v>260000</v>
      </c>
      <c r="T493" s="1">
        <v>0.47945199999999999</v>
      </c>
      <c r="U493" s="3"/>
      <c r="V493" s="3"/>
      <c r="X493" s="1">
        <v>260000</v>
      </c>
      <c r="Y493" s="22">
        <v>0.47945199999999999</v>
      </c>
      <c r="Z493" s="4">
        <f>Table1[[#This Row],[totalTimeKept]]*$AD$3</f>
        <v>7191.78</v>
      </c>
      <c r="AA493" s="4">
        <f>Y493-Z493</f>
        <v>-7191.3005480000002</v>
      </c>
    </row>
    <row r="494" spans="1:27" x14ac:dyDescent="0.3">
      <c r="A494" s="1">
        <v>10131686</v>
      </c>
      <c r="B494" s="1" t="s">
        <v>834</v>
      </c>
      <c r="C494" s="1" t="s">
        <v>49</v>
      </c>
      <c r="D494" s="1">
        <v>4495846</v>
      </c>
      <c r="E494" s="1">
        <v>0</v>
      </c>
      <c r="F494" s="1" t="s">
        <v>25</v>
      </c>
      <c r="G494" s="1" t="s">
        <v>46</v>
      </c>
      <c r="H494" s="2">
        <v>42503</v>
      </c>
      <c r="I494" s="1" t="s">
        <v>25</v>
      </c>
      <c r="J494" s="2">
        <v>42744</v>
      </c>
      <c r="K494" s="3"/>
      <c r="L494" s="3">
        <v>15000</v>
      </c>
      <c r="M494" s="3">
        <v>15000</v>
      </c>
      <c r="N494" s="1">
        <v>1</v>
      </c>
      <c r="O494" s="1">
        <v>0</v>
      </c>
      <c r="P494" s="1">
        <v>1</v>
      </c>
      <c r="Q494" s="3"/>
      <c r="R494" s="3"/>
      <c r="S494" s="3">
        <v>15000</v>
      </c>
      <c r="T494" s="1">
        <v>0.66027400000000003</v>
      </c>
      <c r="U494" s="3"/>
      <c r="V494" s="3"/>
      <c r="X494" s="1">
        <v>15000</v>
      </c>
      <c r="Y494" s="22">
        <v>0.66027400000000003</v>
      </c>
      <c r="Z494" s="4">
        <f>Table1[[#This Row],[totalTimeKept]]*$AD$3</f>
        <v>9904.11</v>
      </c>
      <c r="AA494" s="4">
        <f>Y494-Z494</f>
        <v>-9903.4497260000007</v>
      </c>
    </row>
    <row r="495" spans="1:27" x14ac:dyDescent="0.3">
      <c r="A495" s="1">
        <v>10131687</v>
      </c>
      <c r="B495" s="1" t="s">
        <v>835</v>
      </c>
      <c r="C495" s="1" t="s">
        <v>59</v>
      </c>
      <c r="D495" s="1">
        <v>4670644</v>
      </c>
      <c r="E495" s="1">
        <v>0</v>
      </c>
      <c r="F495" s="1" t="s">
        <v>25</v>
      </c>
      <c r="G495" s="1" t="s">
        <v>349</v>
      </c>
      <c r="H495" s="2">
        <v>42497</v>
      </c>
      <c r="I495" s="1" t="s">
        <v>25</v>
      </c>
      <c r="J495" s="2">
        <v>42689</v>
      </c>
      <c r="K495" s="3"/>
      <c r="L495" s="3">
        <v>45000</v>
      </c>
      <c r="M495" s="3">
        <v>45000</v>
      </c>
      <c r="N495" s="1">
        <v>1</v>
      </c>
      <c r="O495" s="1">
        <v>0</v>
      </c>
      <c r="P495" s="1">
        <v>1</v>
      </c>
      <c r="Q495" s="3"/>
      <c r="R495" s="3"/>
      <c r="S495" s="3">
        <v>45000</v>
      </c>
      <c r="T495" s="1">
        <v>0.52602740000000003</v>
      </c>
      <c r="U495" s="3"/>
      <c r="V495" s="3"/>
      <c r="X495" s="1">
        <v>45000</v>
      </c>
      <c r="Y495" s="22">
        <v>0.52602740000000003</v>
      </c>
      <c r="Z495" s="4">
        <f>Table1[[#This Row],[totalTimeKept]]*$AD$3</f>
        <v>7890.4110000000001</v>
      </c>
      <c r="AA495" s="4">
        <f>Y495-Z495</f>
        <v>-7889.8849725999999</v>
      </c>
    </row>
    <row r="496" spans="1:27" x14ac:dyDescent="0.3">
      <c r="A496" s="1">
        <v>10131689</v>
      </c>
      <c r="B496" s="1" t="s">
        <v>836</v>
      </c>
      <c r="C496" s="1" t="s">
        <v>22</v>
      </c>
      <c r="D496" s="1">
        <v>1433178</v>
      </c>
      <c r="E496" s="1">
        <v>6390</v>
      </c>
      <c r="F496" s="1" t="s">
        <v>25</v>
      </c>
      <c r="G496" s="1" t="s">
        <v>24</v>
      </c>
      <c r="H496" s="2">
        <v>42505</v>
      </c>
      <c r="I496" s="1" t="s">
        <v>25</v>
      </c>
      <c r="J496" s="2">
        <v>44510</v>
      </c>
      <c r="K496" s="3"/>
      <c r="L496" s="3">
        <v>335000</v>
      </c>
      <c r="M496" s="3">
        <v>335000</v>
      </c>
      <c r="N496" s="1">
        <v>1</v>
      </c>
      <c r="O496" s="1">
        <v>0</v>
      </c>
      <c r="P496" s="1">
        <v>1</v>
      </c>
      <c r="Q496" s="3">
        <v>200000</v>
      </c>
      <c r="R496" s="3"/>
      <c r="S496" s="3">
        <v>141390</v>
      </c>
      <c r="T496" s="1">
        <v>5.4931510000000001</v>
      </c>
      <c r="U496" s="3">
        <v>270000</v>
      </c>
      <c r="V496" s="3">
        <v>0</v>
      </c>
      <c r="W496" s="1">
        <v>0.58630139999999997</v>
      </c>
      <c r="X496" s="1">
        <v>411390</v>
      </c>
      <c r="Y496" s="22">
        <v>6.0794519999999999</v>
      </c>
      <c r="Z496" s="4">
        <f>Table1[[#This Row],[totalTimeKept]]*$AD$3</f>
        <v>91191.78</v>
      </c>
      <c r="AA496" s="4">
        <f>Y496-Z496</f>
        <v>-91185.700547999993</v>
      </c>
    </row>
    <row r="497" spans="1:27" x14ac:dyDescent="0.3">
      <c r="A497" s="1">
        <v>10131695</v>
      </c>
      <c r="B497" s="1" t="s">
        <v>837</v>
      </c>
      <c r="C497" s="1" t="s">
        <v>334</v>
      </c>
      <c r="D497" s="1">
        <v>7411150</v>
      </c>
      <c r="E497" s="1">
        <v>0</v>
      </c>
      <c r="F497" s="1" t="s">
        <v>25</v>
      </c>
      <c r="G497" s="1" t="s">
        <v>46</v>
      </c>
      <c r="H497" s="2">
        <v>42495</v>
      </c>
      <c r="I497" s="1" t="s">
        <v>25</v>
      </c>
      <c r="J497" s="2">
        <v>42773</v>
      </c>
      <c r="K497" s="3"/>
      <c r="L497" s="3">
        <v>15000</v>
      </c>
      <c r="M497" s="3">
        <v>15000</v>
      </c>
      <c r="N497" s="1">
        <v>1</v>
      </c>
      <c r="O497" s="1">
        <v>0</v>
      </c>
      <c r="P497" s="1">
        <v>1</v>
      </c>
      <c r="Q497" s="3"/>
      <c r="R497" s="3"/>
      <c r="S497" s="3">
        <v>15000</v>
      </c>
      <c r="T497" s="1">
        <v>0.76164379999999998</v>
      </c>
      <c r="U497" s="3"/>
      <c r="V497" s="3"/>
      <c r="X497" s="1">
        <v>15000</v>
      </c>
      <c r="Y497" s="22">
        <v>0.76164379999999998</v>
      </c>
      <c r="Z497" s="4">
        <f>Table1[[#This Row],[totalTimeKept]]*$AD$3</f>
        <v>11424.656999999999</v>
      </c>
      <c r="AA497" s="4">
        <f>Y497-Z497</f>
        <v>-11423.895356199999</v>
      </c>
    </row>
    <row r="498" spans="1:27" x14ac:dyDescent="0.3">
      <c r="A498" s="1">
        <v>10236086</v>
      </c>
      <c r="B498" s="1" t="s">
        <v>838</v>
      </c>
      <c r="C498" s="1" t="s">
        <v>839</v>
      </c>
      <c r="D498" s="1">
        <v>9330206</v>
      </c>
      <c r="E498" s="1">
        <v>0</v>
      </c>
      <c r="F498" s="1" t="s">
        <v>25</v>
      </c>
      <c r="G498" s="1" t="s">
        <v>349</v>
      </c>
      <c r="H498" s="2">
        <v>42754</v>
      </c>
      <c r="I498" s="1" t="s">
        <v>25</v>
      </c>
      <c r="J498" s="2">
        <v>43048</v>
      </c>
      <c r="K498" s="3"/>
      <c r="L498" s="3">
        <v>140000</v>
      </c>
      <c r="M498" s="3">
        <v>140000</v>
      </c>
      <c r="N498" s="1">
        <v>1</v>
      </c>
      <c r="O498" s="1">
        <v>0</v>
      </c>
      <c r="P498" s="1">
        <v>1</v>
      </c>
      <c r="Q498" s="3"/>
      <c r="R498" s="3"/>
      <c r="S498" s="3">
        <v>140000</v>
      </c>
      <c r="T498" s="1">
        <v>0.80547950000000001</v>
      </c>
      <c r="U498" s="3"/>
      <c r="V498" s="3"/>
      <c r="X498" s="1">
        <v>140000</v>
      </c>
      <c r="Y498" s="22">
        <v>0.80547950000000001</v>
      </c>
      <c r="Z498" s="4">
        <f>Table1[[#This Row],[totalTimeKept]]*$AD$3</f>
        <v>12082.192500000001</v>
      </c>
      <c r="AA498" s="4">
        <f>Y498-Z498</f>
        <v>-12081.3870205</v>
      </c>
    </row>
    <row r="499" spans="1:27" x14ac:dyDescent="0.3">
      <c r="A499" s="1">
        <v>10245142</v>
      </c>
      <c r="B499" s="1" t="s">
        <v>840</v>
      </c>
      <c r="C499" s="1" t="s">
        <v>165</v>
      </c>
      <c r="D499" s="1">
        <v>7458999</v>
      </c>
      <c r="E499" s="1">
        <v>0</v>
      </c>
      <c r="F499" s="1" t="s">
        <v>25</v>
      </c>
      <c r="G499" s="1" t="s">
        <v>349</v>
      </c>
      <c r="H499" s="2">
        <v>42772</v>
      </c>
      <c r="I499" s="1" t="s">
        <v>25</v>
      </c>
      <c r="J499" s="2">
        <v>43048</v>
      </c>
      <c r="K499" s="3"/>
      <c r="L499" s="3">
        <v>200000</v>
      </c>
      <c r="M499" s="3">
        <v>200000</v>
      </c>
      <c r="N499" s="1">
        <v>1</v>
      </c>
      <c r="O499" s="1">
        <v>0</v>
      </c>
      <c r="P499" s="1">
        <v>1</v>
      </c>
      <c r="Q499" s="3"/>
      <c r="R499" s="3"/>
      <c r="S499" s="3">
        <v>200000</v>
      </c>
      <c r="T499" s="1">
        <v>0.75616439999999996</v>
      </c>
      <c r="U499" s="3"/>
      <c r="V499" s="3"/>
      <c r="X499" s="1">
        <v>200000</v>
      </c>
      <c r="Y499" s="22">
        <v>0.75616439999999996</v>
      </c>
      <c r="Z499" s="4">
        <f>Table1[[#This Row],[totalTimeKept]]*$AD$3</f>
        <v>11342.465999999999</v>
      </c>
      <c r="AA499" s="4">
        <f>Y499-Z499</f>
        <v>-11341.709835599999</v>
      </c>
    </row>
    <row r="500" spans="1:27" x14ac:dyDescent="0.3">
      <c r="A500" s="1">
        <v>10245366</v>
      </c>
      <c r="B500" s="1" t="s">
        <v>841</v>
      </c>
      <c r="C500" s="1" t="s">
        <v>418</v>
      </c>
      <c r="D500" s="1">
        <v>9088288</v>
      </c>
      <c r="E500" s="1">
        <v>0</v>
      </c>
      <c r="F500" s="1" t="s">
        <v>25</v>
      </c>
      <c r="G500" s="1" t="s">
        <v>349</v>
      </c>
      <c r="H500" s="2">
        <v>42768</v>
      </c>
      <c r="I500" s="1" t="s">
        <v>25</v>
      </c>
      <c r="J500" s="2">
        <v>43050</v>
      </c>
      <c r="K500" s="3"/>
      <c r="L500" s="3">
        <v>90000</v>
      </c>
      <c r="M500" s="3">
        <v>90000</v>
      </c>
      <c r="N500" s="1">
        <v>1</v>
      </c>
      <c r="O500" s="1">
        <v>0</v>
      </c>
      <c r="P500" s="1">
        <v>1</v>
      </c>
      <c r="Q500" s="3"/>
      <c r="R500" s="3"/>
      <c r="S500" s="3">
        <v>90000</v>
      </c>
      <c r="T500" s="1">
        <v>0.77260269999999998</v>
      </c>
      <c r="U500" s="3"/>
      <c r="V500" s="3"/>
      <c r="X500" s="1">
        <v>90000</v>
      </c>
      <c r="Y500" s="22">
        <v>0.77260269999999998</v>
      </c>
      <c r="Z500" s="4">
        <f>Table1[[#This Row],[totalTimeKept]]*$AD$3</f>
        <v>11589.040499999999</v>
      </c>
      <c r="AA500" s="4">
        <f>Y500-Z500</f>
        <v>-11588.267897299998</v>
      </c>
    </row>
    <row r="501" spans="1:27" x14ac:dyDescent="0.3">
      <c r="A501" s="1">
        <v>10245373</v>
      </c>
      <c r="B501" s="1" t="s">
        <v>842</v>
      </c>
      <c r="C501" s="1" t="s">
        <v>396</v>
      </c>
      <c r="D501" s="1">
        <v>8894817</v>
      </c>
      <c r="E501" s="1">
        <v>0</v>
      </c>
      <c r="F501" s="1" t="s">
        <v>25</v>
      </c>
      <c r="G501" s="1" t="s">
        <v>349</v>
      </c>
      <c r="H501" s="2">
        <v>42771</v>
      </c>
      <c r="I501" s="2" t="s">
        <v>25</v>
      </c>
      <c r="J501" s="2">
        <v>43050</v>
      </c>
      <c r="K501" s="3"/>
      <c r="L501" s="3">
        <v>155000</v>
      </c>
      <c r="M501" s="3">
        <v>155000</v>
      </c>
      <c r="N501" s="1">
        <v>1</v>
      </c>
      <c r="O501" s="1">
        <v>0</v>
      </c>
      <c r="P501" s="1">
        <v>1</v>
      </c>
      <c r="Q501" s="3"/>
      <c r="R501" s="3"/>
      <c r="S501" s="3">
        <v>155000</v>
      </c>
      <c r="T501" s="1">
        <v>0.76438360000000005</v>
      </c>
      <c r="U501" s="3"/>
      <c r="V501" s="3"/>
      <c r="X501" s="1">
        <v>155000</v>
      </c>
      <c r="Y501" s="22">
        <v>0.76438360000000005</v>
      </c>
      <c r="Z501" s="4">
        <f>Table1[[#This Row],[totalTimeKept]]*$AD$3</f>
        <v>11465.754000000001</v>
      </c>
      <c r="AA501" s="4">
        <f>Y501-Z501</f>
        <v>-11464.9896164</v>
      </c>
    </row>
    <row r="502" spans="1:27" x14ac:dyDescent="0.3">
      <c r="A502" s="1">
        <v>10245383</v>
      </c>
      <c r="B502" s="1" t="s">
        <v>843</v>
      </c>
      <c r="C502" s="1" t="s">
        <v>455</v>
      </c>
      <c r="D502" s="1">
        <v>9169983</v>
      </c>
      <c r="E502" s="1">
        <v>0</v>
      </c>
      <c r="F502" s="1" t="s">
        <v>25</v>
      </c>
      <c r="G502" s="1" t="s">
        <v>349</v>
      </c>
      <c r="H502" s="2">
        <v>42773</v>
      </c>
      <c r="I502" s="2" t="s">
        <v>25</v>
      </c>
      <c r="J502" s="2">
        <v>43048</v>
      </c>
      <c r="K502" s="3"/>
      <c r="L502" s="3">
        <v>150000</v>
      </c>
      <c r="M502" s="3">
        <v>150000</v>
      </c>
      <c r="N502" s="1">
        <v>1</v>
      </c>
      <c r="O502" s="1">
        <v>0</v>
      </c>
      <c r="P502" s="1">
        <v>1</v>
      </c>
      <c r="Q502" s="3"/>
      <c r="R502" s="3"/>
      <c r="S502" s="3">
        <v>150000</v>
      </c>
      <c r="T502" s="1">
        <v>0.7534246</v>
      </c>
      <c r="U502" s="3"/>
      <c r="V502" s="3"/>
      <c r="X502" s="1">
        <v>150000</v>
      </c>
      <c r="Y502" s="22">
        <v>0.7534246</v>
      </c>
      <c r="Z502" s="4">
        <f>Table1[[#This Row],[totalTimeKept]]*$AD$3</f>
        <v>11301.369000000001</v>
      </c>
      <c r="AA502" s="4">
        <f>Y502-Z502</f>
        <v>-11300.615575400001</v>
      </c>
    </row>
    <row r="503" spans="1:27" x14ac:dyDescent="0.3">
      <c r="A503" s="1">
        <v>10248422</v>
      </c>
      <c r="B503" s="1" t="s">
        <v>844</v>
      </c>
      <c r="C503" s="1" t="s">
        <v>845</v>
      </c>
      <c r="D503" s="1">
        <v>9314722</v>
      </c>
      <c r="E503" s="1">
        <v>0</v>
      </c>
      <c r="F503" s="1" t="s">
        <v>46</v>
      </c>
      <c r="G503" s="1" t="s">
        <v>846</v>
      </c>
      <c r="H503" s="2">
        <v>42785</v>
      </c>
      <c r="I503" s="2">
        <v>43354</v>
      </c>
      <c r="J503" s="2">
        <v>44152</v>
      </c>
      <c r="K503" s="3">
        <v>425000</v>
      </c>
      <c r="L503" s="3">
        <v>10000</v>
      </c>
      <c r="M503" s="3">
        <v>-415000</v>
      </c>
      <c r="N503" s="1">
        <v>0</v>
      </c>
      <c r="O503" s="1">
        <v>1</v>
      </c>
      <c r="P503" s="1">
        <v>1</v>
      </c>
      <c r="Q503" s="3"/>
      <c r="R503" s="3"/>
      <c r="S503" s="3">
        <v>-415000</v>
      </c>
      <c r="T503" s="1">
        <v>2.1863009999999998</v>
      </c>
      <c r="U503" s="3"/>
      <c r="V503" s="3"/>
      <c r="X503" s="1">
        <v>-415000</v>
      </c>
      <c r="Y503" s="22">
        <v>2.1863009999999998</v>
      </c>
      <c r="Z503" s="4">
        <f>Table1[[#This Row],[totalTimeKept]]*$AD$3</f>
        <v>32794.514999999999</v>
      </c>
      <c r="AA503" s="4">
        <f>Y503-Z503</f>
        <v>-32792.328698999998</v>
      </c>
    </row>
    <row r="504" spans="1:27" x14ac:dyDescent="0.3">
      <c r="A504" s="1">
        <v>10250499</v>
      </c>
      <c r="B504" s="1" t="s">
        <v>847</v>
      </c>
      <c r="C504" s="1" t="s">
        <v>848</v>
      </c>
      <c r="D504" s="1">
        <v>8313279</v>
      </c>
      <c r="E504" s="1">
        <v>0</v>
      </c>
      <c r="F504" s="1" t="s">
        <v>24</v>
      </c>
      <c r="G504" s="1" t="s">
        <v>24</v>
      </c>
      <c r="H504" s="2">
        <v>42785</v>
      </c>
      <c r="I504" s="2">
        <v>44874</v>
      </c>
      <c r="J504" s="2">
        <v>45421</v>
      </c>
      <c r="K504" s="3">
        <v>150000</v>
      </c>
      <c r="L504" s="3">
        <v>361874</v>
      </c>
      <c r="M504" s="3">
        <v>211874</v>
      </c>
      <c r="N504" s="1">
        <v>0</v>
      </c>
      <c r="O504" s="1">
        <v>1</v>
      </c>
      <c r="P504" s="1">
        <v>1</v>
      </c>
      <c r="Q504" s="3">
        <v>0</v>
      </c>
      <c r="R504" s="3"/>
      <c r="S504" s="3">
        <v>211874</v>
      </c>
      <c r="T504" s="1">
        <v>1.4986299999999999</v>
      </c>
      <c r="U504" s="3"/>
      <c r="V504" s="3"/>
      <c r="X504" s="1">
        <v>211874</v>
      </c>
      <c r="Y504" s="22">
        <v>1.4986299999999999</v>
      </c>
      <c r="Z504" s="4">
        <f>Table1[[#This Row],[totalTimeKept]]*$AD$3</f>
        <v>22479.449999999997</v>
      </c>
      <c r="AA504" s="4">
        <f>Y504-Z504</f>
        <v>-22477.951369999999</v>
      </c>
    </row>
    <row r="505" spans="1:27" x14ac:dyDescent="0.3">
      <c r="A505" s="1">
        <v>10254774</v>
      </c>
      <c r="B505" s="1" t="s">
        <v>849</v>
      </c>
      <c r="C505" s="1" t="s">
        <v>850</v>
      </c>
      <c r="D505" s="1">
        <v>8289052</v>
      </c>
      <c r="E505" s="1">
        <v>0</v>
      </c>
      <c r="F505" s="1" t="s">
        <v>46</v>
      </c>
      <c r="G505" s="1" t="s">
        <v>25</v>
      </c>
      <c r="H505" s="2">
        <v>42794</v>
      </c>
      <c r="I505" s="2">
        <v>43356</v>
      </c>
      <c r="J505" s="2" t="s">
        <v>25</v>
      </c>
      <c r="K505" s="3">
        <v>325000</v>
      </c>
      <c r="L505" s="3"/>
      <c r="M505" s="3">
        <v>-325000</v>
      </c>
      <c r="N505" s="1">
        <v>0</v>
      </c>
      <c r="O505" s="1">
        <v>1</v>
      </c>
      <c r="P505" s="1">
        <v>0</v>
      </c>
      <c r="Q505" s="3"/>
      <c r="R505" s="3"/>
      <c r="S505" s="3">
        <v>-325000</v>
      </c>
      <c r="T505" s="1">
        <v>6.4356159999999996</v>
      </c>
      <c r="U505" s="3"/>
      <c r="V505" s="3"/>
      <c r="X505" s="1">
        <v>-325000</v>
      </c>
      <c r="Y505" s="22">
        <v>6.4356159999999996</v>
      </c>
      <c r="Z505" s="4">
        <f>Table1[[#This Row],[totalTimeKept]]*$AD$3</f>
        <v>96534.239999999991</v>
      </c>
      <c r="AA505" s="4">
        <f>Y505-Z505</f>
        <v>-96527.804383999988</v>
      </c>
    </row>
    <row r="506" spans="1:27" x14ac:dyDescent="0.3">
      <c r="A506" s="1">
        <v>10255303</v>
      </c>
      <c r="B506" s="1" t="s">
        <v>851</v>
      </c>
      <c r="C506" s="1" t="s">
        <v>270</v>
      </c>
      <c r="D506" s="1">
        <v>8337012</v>
      </c>
      <c r="E506" s="1">
        <v>0</v>
      </c>
      <c r="F506" s="1" t="s">
        <v>25</v>
      </c>
      <c r="G506" s="1" t="s">
        <v>25</v>
      </c>
      <c r="H506" s="2">
        <v>42793</v>
      </c>
      <c r="I506" s="2" t="s">
        <v>25</v>
      </c>
      <c r="J506" s="1" t="s">
        <v>25</v>
      </c>
      <c r="K506" s="3"/>
      <c r="L506" s="3"/>
      <c r="M506" s="3">
        <v>0</v>
      </c>
      <c r="N506" s="1">
        <v>1</v>
      </c>
      <c r="P506" s="1">
        <v>0</v>
      </c>
      <c r="Q506" s="3"/>
      <c r="R506" s="3"/>
      <c r="S506" s="3">
        <v>0</v>
      </c>
      <c r="T506" s="1">
        <v>7.9780819999999997</v>
      </c>
      <c r="U506" s="3"/>
      <c r="V506" s="3"/>
      <c r="X506" s="1">
        <v>0</v>
      </c>
      <c r="Y506" s="22">
        <v>7.9780819999999997</v>
      </c>
      <c r="Z506" s="4">
        <f>Table1[[#This Row],[totalTimeKept]]*$AD$3</f>
        <v>119671.23</v>
      </c>
      <c r="AA506" s="4">
        <f>Y506-Z506</f>
        <v>-119663.25191799999</v>
      </c>
    </row>
    <row r="507" spans="1:27" x14ac:dyDescent="0.3">
      <c r="A507" s="1">
        <v>10256367</v>
      </c>
      <c r="B507" s="1" t="s">
        <v>852</v>
      </c>
      <c r="C507" s="1" t="s">
        <v>73</v>
      </c>
      <c r="D507" s="1">
        <v>5326184</v>
      </c>
      <c r="E507" s="1">
        <v>0</v>
      </c>
      <c r="F507" s="1" t="s">
        <v>25</v>
      </c>
      <c r="G507" s="1" t="s">
        <v>349</v>
      </c>
      <c r="H507" s="2">
        <v>42793</v>
      </c>
      <c r="I507" s="1" t="s">
        <v>25</v>
      </c>
      <c r="J507" s="2">
        <v>43049</v>
      </c>
      <c r="K507" s="3"/>
      <c r="L507" s="3">
        <v>200000</v>
      </c>
      <c r="M507" s="3">
        <v>200000</v>
      </c>
      <c r="N507" s="1">
        <v>1</v>
      </c>
      <c r="O507" s="1">
        <v>0</v>
      </c>
      <c r="P507" s="1">
        <v>1</v>
      </c>
      <c r="Q507" s="3"/>
      <c r="R507" s="3"/>
      <c r="S507" s="3">
        <v>200000</v>
      </c>
      <c r="T507" s="1">
        <v>0.70136989999999999</v>
      </c>
      <c r="U507" s="3"/>
      <c r="V507" s="3"/>
      <c r="X507" s="1">
        <v>200000</v>
      </c>
      <c r="Y507" s="22">
        <v>0.70136989999999999</v>
      </c>
      <c r="Z507" s="4">
        <f>Table1[[#This Row],[totalTimeKept]]*$AD$3</f>
        <v>10520.548499999999</v>
      </c>
      <c r="AA507" s="4">
        <f>Y507-Z507</f>
        <v>-10519.847130099999</v>
      </c>
    </row>
    <row r="508" spans="1:27" x14ac:dyDescent="0.3">
      <c r="A508" s="1">
        <v>10256371</v>
      </c>
      <c r="B508" s="1" t="s">
        <v>853</v>
      </c>
      <c r="C508" s="1" t="s">
        <v>135</v>
      </c>
      <c r="D508" s="1">
        <v>7167356</v>
      </c>
      <c r="E508" s="1">
        <v>0</v>
      </c>
      <c r="F508" s="1" t="s">
        <v>25</v>
      </c>
      <c r="G508" s="1" t="s">
        <v>349</v>
      </c>
      <c r="H508" s="2">
        <v>42794</v>
      </c>
      <c r="I508" s="1" t="s">
        <v>25</v>
      </c>
      <c r="J508" s="2">
        <v>43048</v>
      </c>
      <c r="K508" s="3"/>
      <c r="L508" s="3">
        <v>320000</v>
      </c>
      <c r="M508" s="3">
        <v>320000</v>
      </c>
      <c r="N508" s="1">
        <v>1</v>
      </c>
      <c r="O508" s="1">
        <v>0</v>
      </c>
      <c r="P508" s="1">
        <v>1</v>
      </c>
      <c r="Q508" s="3"/>
      <c r="R508" s="3"/>
      <c r="S508" s="3">
        <v>320000</v>
      </c>
      <c r="T508" s="1">
        <v>0.69589040000000002</v>
      </c>
      <c r="U508" s="3"/>
      <c r="V508" s="3"/>
      <c r="X508" s="1">
        <v>320000</v>
      </c>
      <c r="Y508" s="22">
        <v>0.69589040000000002</v>
      </c>
      <c r="Z508" s="4">
        <f>Table1[[#This Row],[totalTimeKept]]*$AD$3</f>
        <v>10438.356</v>
      </c>
      <c r="AA508" s="4">
        <f>Y508-Z508</f>
        <v>-10437.660109599999</v>
      </c>
    </row>
    <row r="509" spans="1:27" x14ac:dyDescent="0.3">
      <c r="A509" s="1">
        <v>10256373</v>
      </c>
      <c r="B509" s="1" t="s">
        <v>854</v>
      </c>
      <c r="C509" s="1" t="s">
        <v>77</v>
      </c>
      <c r="D509" s="1">
        <v>5352492</v>
      </c>
      <c r="E509" s="1">
        <v>4450</v>
      </c>
      <c r="F509" s="1" t="s">
        <v>25</v>
      </c>
      <c r="G509" s="1" t="s">
        <v>25</v>
      </c>
      <c r="H509" s="2">
        <v>42796</v>
      </c>
      <c r="I509" s="1" t="s">
        <v>25</v>
      </c>
      <c r="J509" s="2" t="s">
        <v>25</v>
      </c>
      <c r="K509" s="3"/>
      <c r="L509" s="3"/>
      <c r="M509" s="3">
        <v>0</v>
      </c>
      <c r="N509" s="1">
        <v>1</v>
      </c>
      <c r="P509" s="1">
        <v>0</v>
      </c>
      <c r="Q509" s="3">
        <v>72500</v>
      </c>
      <c r="R509" s="3"/>
      <c r="S509" s="3">
        <v>-68050</v>
      </c>
      <c r="T509" s="1">
        <v>7.9698630000000001</v>
      </c>
      <c r="U509" s="3"/>
      <c r="V509" s="3"/>
      <c r="X509" s="1">
        <v>-68050</v>
      </c>
      <c r="Y509" s="22">
        <v>7.9698630000000001</v>
      </c>
      <c r="Z509" s="4">
        <f>Table1[[#This Row],[totalTimeKept]]*$AD$3</f>
        <v>119547.94500000001</v>
      </c>
      <c r="AA509" s="4">
        <f>Y509-Z509</f>
        <v>-119539.975137</v>
      </c>
    </row>
    <row r="510" spans="1:27" x14ac:dyDescent="0.3">
      <c r="A510" s="1">
        <v>10257491</v>
      </c>
      <c r="B510" s="1" t="s">
        <v>855</v>
      </c>
      <c r="C510" s="1" t="s">
        <v>856</v>
      </c>
      <c r="D510" s="1">
        <v>9045456</v>
      </c>
      <c r="E510" s="1">
        <v>1400</v>
      </c>
      <c r="F510" s="1" t="s">
        <v>46</v>
      </c>
      <c r="G510" s="1" t="s">
        <v>25</v>
      </c>
      <c r="H510" s="2">
        <v>42770</v>
      </c>
      <c r="I510" s="2">
        <v>43357</v>
      </c>
      <c r="J510" s="2" t="s">
        <v>25</v>
      </c>
      <c r="K510" s="3">
        <v>450000</v>
      </c>
      <c r="L510" s="3"/>
      <c r="M510" s="3">
        <v>-450000</v>
      </c>
      <c r="N510" s="1">
        <v>0</v>
      </c>
      <c r="O510" s="1">
        <v>1</v>
      </c>
      <c r="P510" s="1">
        <v>0</v>
      </c>
      <c r="Q510" s="3"/>
      <c r="R510" s="3"/>
      <c r="S510" s="3">
        <v>-448600</v>
      </c>
      <c r="T510" s="1">
        <v>6.4328770000000004</v>
      </c>
      <c r="U510" s="3"/>
      <c r="V510" s="3"/>
      <c r="X510" s="1">
        <v>-448600</v>
      </c>
      <c r="Y510" s="22">
        <v>6.4328770000000004</v>
      </c>
      <c r="Z510" s="4">
        <f>Table1[[#This Row],[totalTimeKept]]*$AD$3</f>
        <v>96493.154999999999</v>
      </c>
      <c r="AA510" s="4">
        <f>Y510-Z510</f>
        <v>-96486.722123</v>
      </c>
    </row>
    <row r="511" spans="1:27" x14ac:dyDescent="0.3">
      <c r="A511" s="1">
        <v>10258516</v>
      </c>
      <c r="B511" s="1" t="s">
        <v>857</v>
      </c>
      <c r="C511" s="1" t="s">
        <v>225</v>
      </c>
      <c r="D511" s="1">
        <v>7996279</v>
      </c>
      <c r="E511" s="1">
        <v>0</v>
      </c>
      <c r="F511" s="1" t="s">
        <v>25</v>
      </c>
      <c r="G511" s="1" t="s">
        <v>349</v>
      </c>
      <c r="H511" s="2">
        <v>42803</v>
      </c>
      <c r="I511" s="1" t="s">
        <v>25</v>
      </c>
      <c r="J511" s="2">
        <v>43052</v>
      </c>
      <c r="K511" s="3"/>
      <c r="L511" s="3">
        <v>92000</v>
      </c>
      <c r="M511" s="3">
        <v>92000</v>
      </c>
      <c r="N511" s="1">
        <v>1</v>
      </c>
      <c r="O511" s="1">
        <v>0</v>
      </c>
      <c r="P511" s="1">
        <v>1</v>
      </c>
      <c r="Q511" s="3"/>
      <c r="R511" s="3"/>
      <c r="S511" s="3">
        <v>92000</v>
      </c>
      <c r="T511" s="1">
        <v>0.68219180000000001</v>
      </c>
      <c r="U511" s="3"/>
      <c r="V511" s="3"/>
      <c r="X511" s="1">
        <v>92000</v>
      </c>
      <c r="Y511" s="22">
        <v>0.68219180000000001</v>
      </c>
      <c r="Z511" s="4">
        <f>Table1[[#This Row],[totalTimeKept]]*$AD$3</f>
        <v>10232.877</v>
      </c>
      <c r="AA511" s="4">
        <f>Y511-Z511</f>
        <v>-10232.1948082</v>
      </c>
    </row>
    <row r="512" spans="1:27" x14ac:dyDescent="0.3">
      <c r="A512" s="1">
        <v>10259223</v>
      </c>
      <c r="B512" s="1" t="s">
        <v>858</v>
      </c>
      <c r="C512" s="1" t="s">
        <v>859</v>
      </c>
      <c r="D512" s="1">
        <v>8019249</v>
      </c>
      <c r="E512" s="1">
        <v>547200</v>
      </c>
      <c r="F512" s="1" t="s">
        <v>46</v>
      </c>
      <c r="G512" s="1" t="s">
        <v>25</v>
      </c>
      <c r="H512" s="2">
        <v>42796</v>
      </c>
      <c r="I512" s="2">
        <v>43355</v>
      </c>
      <c r="J512" s="2" t="s">
        <v>25</v>
      </c>
      <c r="K512" s="3">
        <v>700000</v>
      </c>
      <c r="L512" s="3"/>
      <c r="M512" s="3">
        <v>-700000</v>
      </c>
      <c r="N512" s="1">
        <v>0</v>
      </c>
      <c r="O512" s="1">
        <v>1</v>
      </c>
      <c r="P512" s="1">
        <v>0</v>
      </c>
      <c r="Q512" s="3"/>
      <c r="R512" s="3"/>
      <c r="S512" s="3">
        <v>-152800</v>
      </c>
      <c r="T512" s="1">
        <v>6.4383559999999997</v>
      </c>
      <c r="U512" s="3"/>
      <c r="V512" s="3"/>
      <c r="X512" s="1">
        <v>-152800</v>
      </c>
      <c r="Y512" s="22">
        <v>6.4383559999999997</v>
      </c>
      <c r="Z512" s="4">
        <f>Table1[[#This Row],[totalTimeKept]]*$AD$3</f>
        <v>96575.34</v>
      </c>
      <c r="AA512" s="4">
        <f>Y512-Z512</f>
        <v>-96568.901643999998</v>
      </c>
    </row>
    <row r="513" spans="1:27" x14ac:dyDescent="0.3">
      <c r="A513" s="1">
        <v>10261229</v>
      </c>
      <c r="B513" s="1" t="s">
        <v>860</v>
      </c>
      <c r="C513" s="1" t="s">
        <v>171</v>
      </c>
      <c r="D513" s="1">
        <v>7485686</v>
      </c>
      <c r="E513" s="1">
        <v>0</v>
      </c>
      <c r="F513" s="1" t="s">
        <v>25</v>
      </c>
      <c r="G513" s="1" t="s">
        <v>349</v>
      </c>
      <c r="H513" s="2">
        <v>42805</v>
      </c>
      <c r="I513" s="1" t="s">
        <v>25</v>
      </c>
      <c r="J513" s="2">
        <v>43049</v>
      </c>
      <c r="K513" s="3"/>
      <c r="L513" s="3">
        <v>140000</v>
      </c>
      <c r="M513" s="3">
        <v>140000</v>
      </c>
      <c r="N513" s="1">
        <v>1</v>
      </c>
      <c r="O513" s="1">
        <v>0</v>
      </c>
      <c r="P513" s="1">
        <v>1</v>
      </c>
      <c r="Q513" s="3"/>
      <c r="R513" s="3"/>
      <c r="S513" s="3">
        <v>140000</v>
      </c>
      <c r="T513" s="1">
        <v>0.66849320000000001</v>
      </c>
      <c r="U513" s="3"/>
      <c r="V513" s="3"/>
      <c r="X513" s="1">
        <v>140000</v>
      </c>
      <c r="Y513" s="22">
        <v>0.66849320000000001</v>
      </c>
      <c r="Z513" s="4">
        <f>Table1[[#This Row],[totalTimeKept]]*$AD$3</f>
        <v>10027.398000000001</v>
      </c>
      <c r="AA513" s="4">
        <f>Y513-Z513</f>
        <v>-10026.7295068</v>
      </c>
    </row>
    <row r="514" spans="1:27" x14ac:dyDescent="0.3">
      <c r="A514" s="1">
        <v>10261232</v>
      </c>
      <c r="B514" s="1" t="s">
        <v>861</v>
      </c>
      <c r="C514" s="1" t="s">
        <v>862</v>
      </c>
      <c r="D514" s="1">
        <v>9339875</v>
      </c>
      <c r="E514" s="1">
        <v>0</v>
      </c>
      <c r="F514" s="1" t="s">
        <v>25</v>
      </c>
      <c r="G514" s="1" t="s">
        <v>349</v>
      </c>
      <c r="H514" s="2">
        <v>42806</v>
      </c>
      <c r="I514" s="1" t="s">
        <v>25</v>
      </c>
      <c r="J514" s="2">
        <v>43049</v>
      </c>
      <c r="K514" s="3"/>
      <c r="L514" s="3">
        <v>220000</v>
      </c>
      <c r="M514" s="3">
        <v>220000</v>
      </c>
      <c r="N514" s="1">
        <v>1</v>
      </c>
      <c r="O514" s="1">
        <v>0</v>
      </c>
      <c r="P514" s="1">
        <v>1</v>
      </c>
      <c r="Q514" s="3"/>
      <c r="R514" s="3"/>
      <c r="S514" s="3">
        <v>220000</v>
      </c>
      <c r="T514" s="1">
        <v>0.66575340000000005</v>
      </c>
      <c r="U514" s="3"/>
      <c r="V514" s="3"/>
      <c r="X514" s="1">
        <v>220000</v>
      </c>
      <c r="Y514" s="22">
        <v>0.66575340000000005</v>
      </c>
      <c r="Z514" s="4">
        <f>Table1[[#This Row],[totalTimeKept]]*$AD$3</f>
        <v>9986.3010000000013</v>
      </c>
      <c r="AA514" s="4">
        <f>Y514-Z514</f>
        <v>-9985.6352466000008</v>
      </c>
    </row>
    <row r="515" spans="1:27" x14ac:dyDescent="0.3">
      <c r="A515" s="1">
        <v>10261948</v>
      </c>
      <c r="B515" s="1" t="s">
        <v>863</v>
      </c>
      <c r="C515" s="1" t="s">
        <v>297</v>
      </c>
      <c r="D515" s="1">
        <v>8577081</v>
      </c>
      <c r="E515" s="1">
        <v>0</v>
      </c>
      <c r="F515" s="1" t="s">
        <v>25</v>
      </c>
      <c r="G515" s="1" t="s">
        <v>46</v>
      </c>
      <c r="H515" s="2">
        <v>42807</v>
      </c>
      <c r="I515" s="2" t="s">
        <v>25</v>
      </c>
      <c r="J515" s="2">
        <v>43136</v>
      </c>
      <c r="K515" s="3"/>
      <c r="L515" s="3">
        <v>35000</v>
      </c>
      <c r="M515" s="3">
        <v>35000</v>
      </c>
      <c r="N515" s="1">
        <v>1</v>
      </c>
      <c r="O515" s="1">
        <v>0</v>
      </c>
      <c r="P515" s="1">
        <v>1</v>
      </c>
      <c r="Q515" s="3"/>
      <c r="R515" s="3"/>
      <c r="S515" s="3">
        <v>35000</v>
      </c>
      <c r="T515" s="1">
        <v>0.90136989999999995</v>
      </c>
      <c r="U515" s="3"/>
      <c r="V515" s="3"/>
      <c r="X515" s="1">
        <v>35000</v>
      </c>
      <c r="Y515" s="22">
        <v>0.90136989999999995</v>
      </c>
      <c r="Z515" s="4">
        <f>Table1[[#This Row],[totalTimeKept]]*$AD$3</f>
        <v>13520.548499999999</v>
      </c>
      <c r="AA515" s="4">
        <f>Y515-Z515</f>
        <v>-13519.647130099998</v>
      </c>
    </row>
    <row r="516" spans="1:27" x14ac:dyDescent="0.3">
      <c r="A516" s="1">
        <v>10261950</v>
      </c>
      <c r="B516" s="1" t="s">
        <v>864</v>
      </c>
      <c r="C516" s="1" t="s">
        <v>75</v>
      </c>
      <c r="D516" s="1">
        <v>5334092</v>
      </c>
      <c r="E516" s="1">
        <v>0</v>
      </c>
      <c r="F516" s="1" t="s">
        <v>25</v>
      </c>
      <c r="G516" s="1" t="s">
        <v>349</v>
      </c>
      <c r="H516" s="2">
        <v>42807</v>
      </c>
      <c r="I516" s="1" t="s">
        <v>25</v>
      </c>
      <c r="J516" s="2">
        <v>43048</v>
      </c>
      <c r="K516" s="3"/>
      <c r="L516" s="3">
        <v>215000</v>
      </c>
      <c r="M516" s="3">
        <v>215000</v>
      </c>
      <c r="N516" s="1">
        <v>1</v>
      </c>
      <c r="O516" s="1">
        <v>0</v>
      </c>
      <c r="P516" s="1">
        <v>1</v>
      </c>
      <c r="Q516" s="3"/>
      <c r="R516" s="3"/>
      <c r="S516" s="3">
        <v>215000</v>
      </c>
      <c r="T516" s="1">
        <v>0.66027400000000003</v>
      </c>
      <c r="U516" s="3"/>
      <c r="V516" s="3"/>
      <c r="X516" s="1">
        <v>215000</v>
      </c>
      <c r="Y516" s="22">
        <v>0.66027400000000003</v>
      </c>
      <c r="Z516" s="4">
        <f>Table1[[#This Row],[totalTimeKept]]*$AD$3</f>
        <v>9904.11</v>
      </c>
      <c r="AA516" s="4">
        <f>Y516-Z516</f>
        <v>-9903.4497260000007</v>
      </c>
    </row>
    <row r="517" spans="1:27" x14ac:dyDescent="0.3">
      <c r="A517" s="1">
        <v>10262537</v>
      </c>
      <c r="B517" s="1" t="s">
        <v>865</v>
      </c>
      <c r="C517" s="1" t="s">
        <v>101</v>
      </c>
      <c r="D517" s="1">
        <v>6489834</v>
      </c>
      <c r="E517" s="1">
        <v>0</v>
      </c>
      <c r="F517" s="1" t="s">
        <v>25</v>
      </c>
      <c r="G517" s="1" t="s">
        <v>349</v>
      </c>
      <c r="H517" s="2">
        <v>42810</v>
      </c>
      <c r="I517" s="1" t="s">
        <v>25</v>
      </c>
      <c r="J517" s="2">
        <v>43050</v>
      </c>
      <c r="K517" s="3"/>
      <c r="L517" s="3">
        <v>140000</v>
      </c>
      <c r="M517" s="3">
        <v>140000</v>
      </c>
      <c r="N517" s="1">
        <v>1</v>
      </c>
      <c r="O517" s="1">
        <v>0</v>
      </c>
      <c r="P517" s="1">
        <v>1</v>
      </c>
      <c r="Q517" s="3"/>
      <c r="R517" s="3"/>
      <c r="S517" s="3">
        <v>140000</v>
      </c>
      <c r="T517" s="1">
        <v>0.65753419999999996</v>
      </c>
      <c r="U517" s="3"/>
      <c r="V517" s="3"/>
      <c r="X517" s="1">
        <v>140000</v>
      </c>
      <c r="Y517" s="22">
        <v>0.65753419999999996</v>
      </c>
      <c r="Z517" s="4">
        <f>Table1[[#This Row],[totalTimeKept]]*$AD$3</f>
        <v>9863.012999999999</v>
      </c>
      <c r="AA517" s="4">
        <f>Y517-Z517</f>
        <v>-9862.3554657999994</v>
      </c>
    </row>
    <row r="518" spans="1:27" x14ac:dyDescent="0.3">
      <c r="A518" s="1">
        <v>10264514</v>
      </c>
      <c r="B518" s="1" t="s">
        <v>866</v>
      </c>
      <c r="C518" s="1" t="s">
        <v>173</v>
      </c>
      <c r="D518" s="1">
        <v>7488349</v>
      </c>
      <c r="E518" s="1">
        <v>45100</v>
      </c>
      <c r="F518" s="1" t="s">
        <v>46</v>
      </c>
      <c r="G518" s="1" t="s">
        <v>292</v>
      </c>
      <c r="H518" s="2">
        <v>42815</v>
      </c>
      <c r="I518" s="2">
        <v>43357</v>
      </c>
      <c r="J518" s="2">
        <v>43782</v>
      </c>
      <c r="K518" s="3">
        <v>310000</v>
      </c>
      <c r="L518" s="3">
        <v>190000</v>
      </c>
      <c r="M518" s="3">
        <v>-120000</v>
      </c>
      <c r="N518" s="1">
        <v>0</v>
      </c>
      <c r="O518" s="1">
        <v>1</v>
      </c>
      <c r="P518" s="1">
        <v>1</v>
      </c>
      <c r="Q518" s="3"/>
      <c r="R518" s="3"/>
      <c r="S518" s="3">
        <v>-74900</v>
      </c>
      <c r="T518" s="1">
        <v>1.1643840000000001</v>
      </c>
      <c r="U518" s="3"/>
      <c r="V518" s="3"/>
      <c r="X518" s="1">
        <v>-74900</v>
      </c>
      <c r="Y518" s="22">
        <v>1.1643840000000001</v>
      </c>
      <c r="Z518" s="4">
        <f>Table1[[#This Row],[totalTimeKept]]*$AD$3</f>
        <v>17465.760000000002</v>
      </c>
      <c r="AA518" s="4">
        <f>Y518-Z518</f>
        <v>-17464.595616000002</v>
      </c>
    </row>
    <row r="519" spans="1:27" x14ac:dyDescent="0.3">
      <c r="A519" s="1">
        <v>10264611</v>
      </c>
      <c r="B519" s="1" t="s">
        <v>867</v>
      </c>
      <c r="C519" s="1" t="s">
        <v>368</v>
      </c>
      <c r="D519" s="1">
        <v>8857635</v>
      </c>
      <c r="E519" s="1">
        <v>0</v>
      </c>
      <c r="F519" s="1" t="s">
        <v>25</v>
      </c>
      <c r="G519" s="1" t="s">
        <v>46</v>
      </c>
      <c r="H519" s="2">
        <v>42815</v>
      </c>
      <c r="I519" s="1" t="s">
        <v>25</v>
      </c>
      <c r="J519" s="2">
        <v>43357</v>
      </c>
      <c r="K519" s="3"/>
      <c r="L519" s="3">
        <v>60000</v>
      </c>
      <c r="M519" s="3">
        <v>60000</v>
      </c>
      <c r="N519" s="1">
        <v>1</v>
      </c>
      <c r="O519" s="1">
        <v>0</v>
      </c>
      <c r="P519" s="1">
        <v>1</v>
      </c>
      <c r="Q519" s="3"/>
      <c r="R519" s="3"/>
      <c r="S519" s="3">
        <v>60000</v>
      </c>
      <c r="T519" s="1">
        <v>1.484931</v>
      </c>
      <c r="U519" s="3"/>
      <c r="V519" s="3"/>
      <c r="X519" s="1">
        <v>60000</v>
      </c>
      <c r="Y519" s="22">
        <v>1.484931</v>
      </c>
      <c r="Z519" s="4">
        <f>Table1[[#This Row],[totalTimeKept]]*$AD$3</f>
        <v>22273.965</v>
      </c>
      <c r="AA519" s="4">
        <f>Y519-Z519</f>
        <v>-22272.480069000001</v>
      </c>
    </row>
    <row r="520" spans="1:27" x14ac:dyDescent="0.3">
      <c r="A520" s="1">
        <v>10265623</v>
      </c>
      <c r="B520" s="1" t="s">
        <v>868</v>
      </c>
      <c r="C520" s="1" t="s">
        <v>587</v>
      </c>
      <c r="D520" s="1">
        <v>9506949</v>
      </c>
      <c r="E520" s="1">
        <v>0</v>
      </c>
      <c r="F520" s="1" t="s">
        <v>25</v>
      </c>
      <c r="G520" s="1" t="s">
        <v>349</v>
      </c>
      <c r="H520" s="2">
        <v>42817</v>
      </c>
      <c r="I520" s="1" t="s">
        <v>25</v>
      </c>
      <c r="J520" s="2">
        <v>43050</v>
      </c>
      <c r="K520" s="3"/>
      <c r="L520" s="3">
        <v>30000</v>
      </c>
      <c r="M520" s="3">
        <v>30000</v>
      </c>
      <c r="N520" s="1">
        <v>1</v>
      </c>
      <c r="O520" s="1">
        <v>0</v>
      </c>
      <c r="P520" s="1">
        <v>1</v>
      </c>
      <c r="Q520" s="3"/>
      <c r="R520" s="3"/>
      <c r="S520" s="3">
        <v>30000</v>
      </c>
      <c r="T520" s="1">
        <v>0.63835609999999998</v>
      </c>
      <c r="U520" s="3"/>
      <c r="V520" s="3"/>
      <c r="X520" s="1">
        <v>30000</v>
      </c>
      <c r="Y520" s="22">
        <v>0.63835609999999998</v>
      </c>
      <c r="Z520" s="4">
        <f>Table1[[#This Row],[totalTimeKept]]*$AD$3</f>
        <v>9575.3415000000005</v>
      </c>
      <c r="AA520" s="4">
        <f>Y520-Z520</f>
        <v>-9574.7031439000002</v>
      </c>
    </row>
    <row r="521" spans="1:27" x14ac:dyDescent="0.3">
      <c r="A521" s="1">
        <v>10266129</v>
      </c>
      <c r="B521" s="1" t="s">
        <v>869</v>
      </c>
      <c r="C521" s="1" t="s">
        <v>870</v>
      </c>
      <c r="D521" s="1">
        <v>9121076</v>
      </c>
      <c r="E521" s="1">
        <v>114900</v>
      </c>
      <c r="F521" s="1" t="s">
        <v>46</v>
      </c>
      <c r="G521" s="1" t="s">
        <v>846</v>
      </c>
      <c r="H521" s="2">
        <v>42818</v>
      </c>
      <c r="I521" s="2">
        <v>43357</v>
      </c>
      <c r="J521" s="2">
        <v>44152</v>
      </c>
      <c r="K521" s="3">
        <v>500000</v>
      </c>
      <c r="L521" s="3">
        <v>65000</v>
      </c>
      <c r="M521" s="3">
        <v>-435000</v>
      </c>
      <c r="N521" s="1">
        <v>0</v>
      </c>
      <c r="O521" s="1">
        <v>1</v>
      </c>
      <c r="P521" s="1">
        <v>1</v>
      </c>
      <c r="Q521" s="3"/>
      <c r="R521" s="3"/>
      <c r="S521" s="3">
        <v>-320100</v>
      </c>
      <c r="T521" s="1">
        <v>2.1780819999999999</v>
      </c>
      <c r="U521" s="3"/>
      <c r="V521" s="3"/>
      <c r="X521" s="1">
        <v>-320100</v>
      </c>
      <c r="Y521" s="22">
        <v>2.1780819999999999</v>
      </c>
      <c r="Z521" s="4">
        <f>Table1[[#This Row],[totalTimeKept]]*$AD$3</f>
        <v>32671.23</v>
      </c>
      <c r="AA521" s="4">
        <f>Y521-Z521</f>
        <v>-32669.051918000001</v>
      </c>
    </row>
    <row r="522" spans="1:27" x14ac:dyDescent="0.3">
      <c r="A522" s="1">
        <v>10271254</v>
      </c>
      <c r="B522" s="1" t="s">
        <v>871</v>
      </c>
      <c r="C522" s="1" t="s">
        <v>872</v>
      </c>
      <c r="D522" s="1">
        <v>7831367</v>
      </c>
      <c r="E522" s="1">
        <v>206265</v>
      </c>
      <c r="F522" s="1" t="s">
        <v>46</v>
      </c>
      <c r="G522" s="1" t="s">
        <v>25</v>
      </c>
      <c r="H522" s="2">
        <v>42825</v>
      </c>
      <c r="I522" s="2">
        <v>43357</v>
      </c>
      <c r="J522" s="2" t="s">
        <v>25</v>
      </c>
      <c r="K522" s="3">
        <v>450000</v>
      </c>
      <c r="L522" s="3"/>
      <c r="M522" s="3">
        <v>-450000</v>
      </c>
      <c r="N522" s="1">
        <v>0</v>
      </c>
      <c r="O522" s="1">
        <v>1</v>
      </c>
      <c r="P522" s="1">
        <v>0</v>
      </c>
      <c r="Q522" s="3"/>
      <c r="R522" s="3"/>
      <c r="S522" s="3">
        <v>-243735</v>
      </c>
      <c r="T522" s="1">
        <v>6.4328770000000004</v>
      </c>
      <c r="U522" s="3"/>
      <c r="V522" s="3"/>
      <c r="X522" s="1">
        <v>-243735</v>
      </c>
      <c r="Y522" s="22">
        <v>6.4328770000000004</v>
      </c>
      <c r="Z522" s="4">
        <f>Table1[[#This Row],[totalTimeKept]]*$AD$3</f>
        <v>96493.154999999999</v>
      </c>
      <c r="AA522" s="4">
        <f>Y522-Z522</f>
        <v>-96486.722123</v>
      </c>
    </row>
    <row r="523" spans="1:27" x14ac:dyDescent="0.3">
      <c r="A523" s="1">
        <v>10271814</v>
      </c>
      <c r="B523" s="1" t="s">
        <v>873</v>
      </c>
      <c r="C523" s="1" t="s">
        <v>874</v>
      </c>
      <c r="D523" s="1">
        <v>7758346</v>
      </c>
      <c r="E523" s="1">
        <v>0</v>
      </c>
      <c r="F523" s="1" t="s">
        <v>25</v>
      </c>
      <c r="G523" s="1" t="s">
        <v>46</v>
      </c>
      <c r="H523" s="2">
        <v>42760</v>
      </c>
      <c r="I523" s="1" t="s">
        <v>25</v>
      </c>
      <c r="J523" s="2">
        <v>43353</v>
      </c>
      <c r="K523" s="3"/>
      <c r="L523" s="3">
        <v>1100000</v>
      </c>
      <c r="M523" s="3">
        <v>1100000</v>
      </c>
      <c r="N523" s="1">
        <v>1</v>
      </c>
      <c r="O523" s="1">
        <v>0</v>
      </c>
      <c r="P523" s="1">
        <v>1</v>
      </c>
      <c r="Q523" s="3"/>
      <c r="R523" s="3"/>
      <c r="S523" s="3">
        <v>1100000</v>
      </c>
      <c r="T523" s="1">
        <v>1.6246579999999999</v>
      </c>
      <c r="U523" s="3"/>
      <c r="V523" s="3"/>
      <c r="X523" s="1">
        <v>1100000</v>
      </c>
      <c r="Y523" s="22">
        <v>1.6246579999999999</v>
      </c>
      <c r="Z523" s="4">
        <f>Table1[[#This Row],[totalTimeKept]]*$AD$3</f>
        <v>24369.87</v>
      </c>
      <c r="AA523" s="4">
        <f>Y523-Z523</f>
        <v>-24368.245341999998</v>
      </c>
    </row>
    <row r="524" spans="1:27" x14ac:dyDescent="0.3">
      <c r="A524" s="1">
        <v>10271822</v>
      </c>
      <c r="B524" s="1" t="s">
        <v>875</v>
      </c>
      <c r="C524" s="1" t="s">
        <v>199</v>
      </c>
      <c r="D524" s="1">
        <v>7732950</v>
      </c>
      <c r="E524" s="1">
        <v>12000</v>
      </c>
      <c r="F524" s="1" t="s">
        <v>25</v>
      </c>
      <c r="G524" s="1" t="s">
        <v>25</v>
      </c>
      <c r="H524" s="2">
        <v>42783</v>
      </c>
      <c r="I524" s="1" t="s">
        <v>25</v>
      </c>
      <c r="J524" s="2" t="s">
        <v>25</v>
      </c>
      <c r="K524" s="3"/>
      <c r="L524" s="3"/>
      <c r="M524" s="3">
        <v>0</v>
      </c>
      <c r="N524" s="1">
        <v>1</v>
      </c>
      <c r="P524" s="1">
        <v>0</v>
      </c>
      <c r="Q524" s="3"/>
      <c r="R524" s="3"/>
      <c r="S524" s="3">
        <v>12000</v>
      </c>
      <c r="T524" s="1">
        <v>8.0054800000000004</v>
      </c>
      <c r="U524" s="3"/>
      <c r="V524" s="3"/>
      <c r="X524" s="1">
        <v>12000</v>
      </c>
      <c r="Y524" s="22">
        <v>8.0054800000000004</v>
      </c>
      <c r="Z524" s="4">
        <f>Table1[[#This Row],[totalTimeKept]]*$AD$3</f>
        <v>120082.20000000001</v>
      </c>
      <c r="AA524" s="4">
        <f>Y524-Z524</f>
        <v>-120074.19452</v>
      </c>
    </row>
    <row r="525" spans="1:27" x14ac:dyDescent="0.3">
      <c r="A525" s="1">
        <v>10271824</v>
      </c>
      <c r="B525" s="1" t="s">
        <v>876</v>
      </c>
      <c r="C525" s="1" t="s">
        <v>252</v>
      </c>
      <c r="D525" s="1">
        <v>8266167</v>
      </c>
      <c r="E525" s="1">
        <v>0</v>
      </c>
      <c r="F525" s="1" t="s">
        <v>25</v>
      </c>
      <c r="G525" s="1" t="s">
        <v>349</v>
      </c>
      <c r="H525" s="2">
        <v>42794</v>
      </c>
      <c r="I525" s="1" t="s">
        <v>25</v>
      </c>
      <c r="J525" s="2">
        <v>43047</v>
      </c>
      <c r="K525" s="3"/>
      <c r="L525" s="3">
        <v>100000</v>
      </c>
      <c r="M525" s="3">
        <v>100000</v>
      </c>
      <c r="N525" s="1">
        <v>1</v>
      </c>
      <c r="O525" s="1">
        <v>0</v>
      </c>
      <c r="P525" s="1">
        <v>1</v>
      </c>
      <c r="Q525" s="3"/>
      <c r="R525" s="3"/>
      <c r="S525" s="3">
        <v>100000</v>
      </c>
      <c r="T525" s="1">
        <v>0.69315070000000001</v>
      </c>
      <c r="U525" s="3"/>
      <c r="V525" s="3"/>
      <c r="X525" s="1">
        <v>100000</v>
      </c>
      <c r="Y525" s="22">
        <v>0.69315070000000001</v>
      </c>
      <c r="Z525" s="4">
        <f>Table1[[#This Row],[totalTimeKept]]*$AD$3</f>
        <v>10397.2605</v>
      </c>
      <c r="AA525" s="4">
        <f>Y525-Z525</f>
        <v>-10396.567349299999</v>
      </c>
    </row>
    <row r="526" spans="1:27" x14ac:dyDescent="0.3">
      <c r="A526" s="1">
        <v>10271827</v>
      </c>
      <c r="B526" s="1" t="s">
        <v>877</v>
      </c>
      <c r="C526" s="1" t="s">
        <v>34</v>
      </c>
      <c r="D526" s="1">
        <v>4035517</v>
      </c>
      <c r="E526" s="1">
        <v>0</v>
      </c>
      <c r="F526" s="1" t="s">
        <v>25</v>
      </c>
      <c r="G526" s="1" t="s">
        <v>46</v>
      </c>
      <c r="H526" s="2">
        <v>42807</v>
      </c>
      <c r="I526" s="1" t="s">
        <v>25</v>
      </c>
      <c r="J526" s="2">
        <v>43357</v>
      </c>
      <c r="K526" s="3"/>
      <c r="L526" s="3">
        <v>250000</v>
      </c>
      <c r="M526" s="3">
        <v>250000</v>
      </c>
      <c r="N526" s="1">
        <v>1</v>
      </c>
      <c r="O526" s="1">
        <v>0</v>
      </c>
      <c r="P526" s="1">
        <v>1</v>
      </c>
      <c r="Q526" s="3"/>
      <c r="R526" s="3"/>
      <c r="S526" s="3">
        <v>250000</v>
      </c>
      <c r="T526" s="1">
        <v>1.5068490000000001</v>
      </c>
      <c r="U526" s="3"/>
      <c r="V526" s="3"/>
      <c r="X526" s="1">
        <v>250000</v>
      </c>
      <c r="Y526" s="22">
        <v>1.5068490000000001</v>
      </c>
      <c r="Z526" s="4">
        <f>Table1[[#This Row],[totalTimeKept]]*$AD$3</f>
        <v>22602.735000000001</v>
      </c>
      <c r="AA526" s="4">
        <f>Y526-Z526</f>
        <v>-22601.228150999999</v>
      </c>
    </row>
    <row r="527" spans="1:27" x14ac:dyDescent="0.3">
      <c r="A527" s="1">
        <v>10271828</v>
      </c>
      <c r="B527" s="1" t="s">
        <v>878</v>
      </c>
      <c r="C527" s="1" t="s">
        <v>95</v>
      </c>
      <c r="D527" s="1">
        <v>6397901</v>
      </c>
      <c r="E527" s="1">
        <v>0</v>
      </c>
      <c r="F527" s="1" t="s">
        <v>25</v>
      </c>
      <c r="G527" s="1" t="s">
        <v>46</v>
      </c>
      <c r="H527" s="2">
        <v>42811</v>
      </c>
      <c r="I527" s="2" t="s">
        <v>25</v>
      </c>
      <c r="J527" s="2">
        <v>43136</v>
      </c>
      <c r="K527" s="3"/>
      <c r="L527" s="3">
        <v>43000</v>
      </c>
      <c r="M527" s="3">
        <v>43000</v>
      </c>
      <c r="N527" s="1">
        <v>1</v>
      </c>
      <c r="O527" s="1">
        <v>0</v>
      </c>
      <c r="P527" s="1">
        <v>1</v>
      </c>
      <c r="Q527" s="3"/>
      <c r="R527" s="3"/>
      <c r="S527" s="3">
        <v>43000</v>
      </c>
      <c r="T527" s="1">
        <v>0.89041099999999995</v>
      </c>
      <c r="U527" s="3"/>
      <c r="V527" s="3"/>
      <c r="X527" s="1">
        <v>43000</v>
      </c>
      <c r="Y527" s="22">
        <v>0.89041099999999995</v>
      </c>
      <c r="Z527" s="4">
        <f>Table1[[#This Row],[totalTimeKept]]*$AD$3</f>
        <v>13356.164999999999</v>
      </c>
      <c r="AA527" s="4">
        <f>Y527-Z527</f>
        <v>-13355.274588999999</v>
      </c>
    </row>
    <row r="528" spans="1:27" x14ac:dyDescent="0.3">
      <c r="A528" s="1">
        <v>10272231</v>
      </c>
      <c r="B528" s="1" t="s">
        <v>879</v>
      </c>
      <c r="C528" s="1" t="s">
        <v>880</v>
      </c>
      <c r="D528" s="1">
        <v>9317599</v>
      </c>
      <c r="E528" s="1">
        <v>0</v>
      </c>
      <c r="F528" s="1" t="s">
        <v>46</v>
      </c>
      <c r="G528" s="1" t="s">
        <v>25</v>
      </c>
      <c r="H528" s="2">
        <v>42836</v>
      </c>
      <c r="I528" s="2">
        <v>43353</v>
      </c>
      <c r="J528" s="2" t="s">
        <v>25</v>
      </c>
      <c r="K528" s="3">
        <v>200000</v>
      </c>
      <c r="L528" s="3"/>
      <c r="M528" s="3">
        <v>-200000</v>
      </c>
      <c r="N528" s="1">
        <v>0</v>
      </c>
      <c r="O528" s="1">
        <v>1</v>
      </c>
      <c r="P528" s="1">
        <v>0</v>
      </c>
      <c r="Q528" s="3"/>
      <c r="R528" s="3"/>
      <c r="S528" s="3">
        <v>-200000</v>
      </c>
      <c r="T528" s="1">
        <v>6.4438360000000001</v>
      </c>
      <c r="U528" s="3"/>
      <c r="V528" s="3"/>
      <c r="X528" s="1">
        <v>-200000</v>
      </c>
      <c r="Y528" s="22">
        <v>6.4438360000000001</v>
      </c>
      <c r="Z528" s="4">
        <f>Table1[[#This Row],[totalTimeKept]]*$AD$3</f>
        <v>96657.540000000008</v>
      </c>
      <c r="AA528" s="4">
        <f>Y528-Z528</f>
        <v>-96651.096164000002</v>
      </c>
    </row>
    <row r="529" spans="1:27" x14ac:dyDescent="0.3">
      <c r="A529" s="1">
        <v>10272460</v>
      </c>
      <c r="B529" s="1" t="s">
        <v>881</v>
      </c>
      <c r="C529" s="1" t="s">
        <v>882</v>
      </c>
      <c r="D529" s="1">
        <v>8390567</v>
      </c>
      <c r="E529" s="1">
        <v>440600</v>
      </c>
      <c r="F529" s="1" t="s">
        <v>46</v>
      </c>
      <c r="G529" s="1" t="s">
        <v>25</v>
      </c>
      <c r="H529" s="2">
        <v>42818</v>
      </c>
      <c r="I529" s="2">
        <v>43354</v>
      </c>
      <c r="J529" s="2" t="s">
        <v>25</v>
      </c>
      <c r="K529" s="3">
        <v>520000</v>
      </c>
      <c r="L529" s="3"/>
      <c r="M529" s="3">
        <v>-520000</v>
      </c>
      <c r="N529" s="1">
        <v>0</v>
      </c>
      <c r="O529" s="1">
        <v>1</v>
      </c>
      <c r="P529" s="1">
        <v>0</v>
      </c>
      <c r="Q529" s="3"/>
      <c r="R529" s="3"/>
      <c r="S529" s="3">
        <v>-79400</v>
      </c>
      <c r="T529" s="1">
        <v>6.4410959999999999</v>
      </c>
      <c r="U529" s="3"/>
      <c r="V529" s="3"/>
      <c r="X529" s="1">
        <v>-79400</v>
      </c>
      <c r="Y529" s="22">
        <v>6.4410959999999999</v>
      </c>
      <c r="Z529" s="4">
        <f>Table1[[#This Row],[totalTimeKept]]*$AD$3</f>
        <v>96616.44</v>
      </c>
      <c r="AA529" s="4">
        <f>Y529-Z529</f>
        <v>-96609.998904000007</v>
      </c>
    </row>
    <row r="530" spans="1:27" x14ac:dyDescent="0.3">
      <c r="A530" s="1">
        <v>10272995</v>
      </c>
      <c r="B530" s="1" t="s">
        <v>883</v>
      </c>
      <c r="C530" s="1" t="s">
        <v>142</v>
      </c>
      <c r="D530" s="1">
        <v>7179569</v>
      </c>
      <c r="E530" s="1">
        <v>0</v>
      </c>
      <c r="F530" s="1" t="s">
        <v>25</v>
      </c>
      <c r="G530" s="1" t="s">
        <v>349</v>
      </c>
      <c r="H530" s="2">
        <v>42830</v>
      </c>
      <c r="I530" s="1" t="s">
        <v>25</v>
      </c>
      <c r="J530" s="2">
        <v>43048</v>
      </c>
      <c r="K530" s="3"/>
      <c r="L530" s="3">
        <v>150000</v>
      </c>
      <c r="M530" s="3">
        <v>150000</v>
      </c>
      <c r="N530" s="1">
        <v>1</v>
      </c>
      <c r="O530" s="1">
        <v>0</v>
      </c>
      <c r="P530" s="1">
        <v>1</v>
      </c>
      <c r="Q530" s="3"/>
      <c r="R530" s="3"/>
      <c r="S530" s="3">
        <v>150000</v>
      </c>
      <c r="T530" s="1">
        <v>0.59726029999999997</v>
      </c>
      <c r="U530" s="3"/>
      <c r="V530" s="3"/>
      <c r="X530" s="1">
        <v>150000</v>
      </c>
      <c r="Y530" s="22">
        <v>0.59726029999999997</v>
      </c>
      <c r="Z530" s="4">
        <f>Table1[[#This Row],[totalTimeKept]]*$AD$3</f>
        <v>8958.9044999999987</v>
      </c>
      <c r="AA530" s="4">
        <f>Y530-Z530</f>
        <v>-8958.3072396999996</v>
      </c>
    </row>
    <row r="531" spans="1:27" x14ac:dyDescent="0.3">
      <c r="A531" s="1">
        <v>10273806</v>
      </c>
      <c r="B531" s="1" t="s">
        <v>884</v>
      </c>
      <c r="C531" s="1" t="s">
        <v>885</v>
      </c>
      <c r="D531" s="1">
        <v>8380530</v>
      </c>
      <c r="E531" s="1">
        <v>0</v>
      </c>
      <c r="F531" s="1" t="s">
        <v>25</v>
      </c>
      <c r="G531" s="1" t="s">
        <v>46</v>
      </c>
      <c r="H531" s="2">
        <v>42837</v>
      </c>
      <c r="I531" s="1" t="s">
        <v>25</v>
      </c>
      <c r="J531" s="2">
        <v>43359</v>
      </c>
      <c r="K531" s="3"/>
      <c r="L531" s="3">
        <v>150000</v>
      </c>
      <c r="M531" s="3">
        <v>150000</v>
      </c>
      <c r="N531" s="1">
        <v>1</v>
      </c>
      <c r="O531" s="1">
        <v>0</v>
      </c>
      <c r="P531" s="1">
        <v>1</v>
      </c>
      <c r="Q531" s="3"/>
      <c r="R531" s="3"/>
      <c r="S531" s="3">
        <v>150000</v>
      </c>
      <c r="T531" s="1">
        <v>1.430137</v>
      </c>
      <c r="U531" s="3"/>
      <c r="V531" s="3"/>
      <c r="X531" s="1">
        <v>150000</v>
      </c>
      <c r="Y531" s="22">
        <v>1.430137</v>
      </c>
      <c r="Z531" s="4">
        <f>Table1[[#This Row],[totalTimeKept]]*$AD$3</f>
        <v>21452.055</v>
      </c>
      <c r="AA531" s="4">
        <f>Y531-Z531</f>
        <v>-21450.624863000001</v>
      </c>
    </row>
    <row r="532" spans="1:27" x14ac:dyDescent="0.3">
      <c r="A532" s="1">
        <v>10281044</v>
      </c>
      <c r="B532" s="1" t="s">
        <v>886</v>
      </c>
      <c r="C532" s="1" t="s">
        <v>115</v>
      </c>
      <c r="D532" s="1">
        <v>6800339</v>
      </c>
      <c r="E532" s="1">
        <v>0</v>
      </c>
      <c r="F532" s="1" t="s">
        <v>25</v>
      </c>
      <c r="G532" s="1" t="s">
        <v>349</v>
      </c>
      <c r="H532" s="2">
        <v>42848</v>
      </c>
      <c r="I532" s="1" t="s">
        <v>25</v>
      </c>
      <c r="J532" s="2">
        <v>43049</v>
      </c>
      <c r="K532" s="3"/>
      <c r="L532" s="3">
        <v>190000</v>
      </c>
      <c r="M532" s="3">
        <v>190000</v>
      </c>
      <c r="N532" s="1">
        <v>1</v>
      </c>
      <c r="O532" s="1">
        <v>0</v>
      </c>
      <c r="P532" s="1">
        <v>1</v>
      </c>
      <c r="Q532" s="3"/>
      <c r="R532" s="3"/>
      <c r="S532" s="3">
        <v>190000</v>
      </c>
      <c r="T532" s="1">
        <v>0.55068490000000003</v>
      </c>
      <c r="U532" s="3"/>
      <c r="V532" s="3"/>
      <c r="X532" s="1">
        <v>190000</v>
      </c>
      <c r="Y532" s="22">
        <v>0.55068490000000003</v>
      </c>
      <c r="Z532" s="4">
        <f>Table1[[#This Row],[totalTimeKept]]*$AD$3</f>
        <v>8260.2735000000011</v>
      </c>
      <c r="AA532" s="4">
        <f>Y532-Z532</f>
        <v>-8259.7228151000018</v>
      </c>
    </row>
    <row r="533" spans="1:27" x14ac:dyDescent="0.3">
      <c r="A533" s="1">
        <v>10281047</v>
      </c>
      <c r="B533" s="1" t="s">
        <v>887</v>
      </c>
      <c r="C533" s="1" t="s">
        <v>564</v>
      </c>
      <c r="D533" s="1">
        <v>4630264</v>
      </c>
      <c r="E533" s="1">
        <v>0</v>
      </c>
      <c r="F533" s="1" t="s">
        <v>25</v>
      </c>
      <c r="G533" s="1" t="s">
        <v>46</v>
      </c>
      <c r="H533" s="2">
        <v>42839</v>
      </c>
      <c r="I533" s="1" t="s">
        <v>25</v>
      </c>
      <c r="J533" s="2">
        <v>43358</v>
      </c>
      <c r="K533" s="3"/>
      <c r="L533" s="3">
        <v>250000</v>
      </c>
      <c r="M533" s="3">
        <v>250000</v>
      </c>
      <c r="N533" s="1">
        <v>1</v>
      </c>
      <c r="O533" s="1">
        <v>0</v>
      </c>
      <c r="P533" s="1">
        <v>1</v>
      </c>
      <c r="Q533" s="3"/>
      <c r="R533" s="3"/>
      <c r="S533" s="3">
        <v>250000</v>
      </c>
      <c r="T533" s="1">
        <v>1.421918</v>
      </c>
      <c r="U533" s="3"/>
      <c r="V533" s="3"/>
      <c r="X533" s="1">
        <v>250000</v>
      </c>
      <c r="Y533" s="22">
        <v>1.421918</v>
      </c>
      <c r="Z533" s="4">
        <f>Table1[[#This Row],[totalTimeKept]]*$AD$3</f>
        <v>21328.77</v>
      </c>
      <c r="AA533" s="4">
        <f>Y533-Z533</f>
        <v>-21327.348082</v>
      </c>
    </row>
    <row r="534" spans="1:27" x14ac:dyDescent="0.3">
      <c r="A534" s="1">
        <v>10282184</v>
      </c>
      <c r="B534" s="1" t="s">
        <v>888</v>
      </c>
      <c r="C534" s="1" t="s">
        <v>817</v>
      </c>
      <c r="D534" s="1">
        <v>7267662</v>
      </c>
      <c r="E534" s="1">
        <v>0</v>
      </c>
      <c r="F534" s="1" t="s">
        <v>25</v>
      </c>
      <c r="G534" s="1" t="s">
        <v>46</v>
      </c>
      <c r="H534" s="2">
        <v>42855</v>
      </c>
      <c r="I534" s="1" t="s">
        <v>25</v>
      </c>
      <c r="J534" s="2">
        <v>43136</v>
      </c>
      <c r="K534" s="3"/>
      <c r="L534" s="3">
        <v>40000</v>
      </c>
      <c r="M534" s="3">
        <v>40000</v>
      </c>
      <c r="N534" s="1">
        <v>1</v>
      </c>
      <c r="O534" s="1">
        <v>0</v>
      </c>
      <c r="P534" s="1">
        <v>1</v>
      </c>
      <c r="Q534" s="3"/>
      <c r="R534" s="3"/>
      <c r="S534" s="3">
        <v>40000</v>
      </c>
      <c r="T534" s="1">
        <v>0.76986299999999996</v>
      </c>
      <c r="U534" s="3"/>
      <c r="V534" s="3"/>
      <c r="X534" s="1">
        <v>40000</v>
      </c>
      <c r="Y534" s="22">
        <v>0.76986299999999996</v>
      </c>
      <c r="Z534" s="4">
        <f>Table1[[#This Row],[totalTimeKept]]*$AD$3</f>
        <v>11547.945</v>
      </c>
      <c r="AA534" s="4">
        <f>Y534-Z534</f>
        <v>-11547.175137</v>
      </c>
    </row>
    <row r="535" spans="1:27" x14ac:dyDescent="0.3">
      <c r="A535" s="1">
        <v>10282219</v>
      </c>
      <c r="B535" s="1" t="s">
        <v>889</v>
      </c>
      <c r="C535" s="1" t="s">
        <v>890</v>
      </c>
      <c r="D535" s="1">
        <v>8588073</v>
      </c>
      <c r="E535" s="1">
        <v>173225</v>
      </c>
      <c r="F535" s="1" t="s">
        <v>46</v>
      </c>
      <c r="G535" s="1" t="s">
        <v>25</v>
      </c>
      <c r="H535" s="2">
        <v>42854</v>
      </c>
      <c r="I535" s="2">
        <v>43354</v>
      </c>
      <c r="J535" s="2" t="s">
        <v>25</v>
      </c>
      <c r="K535" s="3">
        <v>925000</v>
      </c>
      <c r="L535" s="3"/>
      <c r="M535" s="3">
        <v>-925000</v>
      </c>
      <c r="N535" s="1">
        <v>0</v>
      </c>
      <c r="O535" s="1">
        <v>1</v>
      </c>
      <c r="P535" s="1">
        <v>0</v>
      </c>
      <c r="Q535" s="3"/>
      <c r="R535" s="3"/>
      <c r="S535" s="3">
        <v>-751775</v>
      </c>
      <c r="T535" s="1">
        <v>6.4410959999999999</v>
      </c>
      <c r="U535" s="3"/>
      <c r="V535" s="3"/>
      <c r="X535" s="1">
        <v>-751775</v>
      </c>
      <c r="Y535" s="22">
        <v>6.4410959999999999</v>
      </c>
      <c r="Z535" s="4">
        <f>Table1[[#This Row],[totalTimeKept]]*$AD$3</f>
        <v>96616.44</v>
      </c>
      <c r="AA535" s="4">
        <f>Y535-Z535</f>
        <v>-96609.998904000007</v>
      </c>
    </row>
    <row r="536" spans="1:27" x14ac:dyDescent="0.3">
      <c r="A536" s="1">
        <v>10286142</v>
      </c>
      <c r="B536" s="1" t="s">
        <v>891</v>
      </c>
      <c r="C536" s="1" t="s">
        <v>892</v>
      </c>
      <c r="D536" s="1">
        <v>8043030</v>
      </c>
      <c r="E536" s="1">
        <v>6624200</v>
      </c>
      <c r="F536" s="1" t="s">
        <v>46</v>
      </c>
      <c r="G536" s="1" t="s">
        <v>25</v>
      </c>
      <c r="H536" s="2">
        <v>42860</v>
      </c>
      <c r="I536" s="2">
        <v>43360</v>
      </c>
      <c r="J536" s="2" t="s">
        <v>25</v>
      </c>
      <c r="K536" s="3">
        <v>350000</v>
      </c>
      <c r="L536" s="3"/>
      <c r="M536" s="3">
        <v>-350000</v>
      </c>
      <c r="N536" s="1">
        <v>0</v>
      </c>
      <c r="O536" s="1">
        <v>1</v>
      </c>
      <c r="P536" s="1">
        <v>0</v>
      </c>
      <c r="Q536" s="3"/>
      <c r="R536" s="3">
        <v>49300000</v>
      </c>
      <c r="S536" s="3">
        <v>55500000</v>
      </c>
      <c r="T536" s="1">
        <v>6.4246569999999998</v>
      </c>
      <c r="U536" s="3"/>
      <c r="V536" s="3"/>
      <c r="X536" s="21">
        <v>55500000</v>
      </c>
      <c r="Y536" s="22">
        <v>6.4246569999999998</v>
      </c>
      <c r="Z536" s="4">
        <f>Table1[[#This Row],[totalTimeKept]]*$AD$3</f>
        <v>96369.854999999996</v>
      </c>
      <c r="AA536" s="4">
        <f>Y536-Z536</f>
        <v>-96363.430343</v>
      </c>
    </row>
    <row r="537" spans="1:27" x14ac:dyDescent="0.3">
      <c r="A537" s="1">
        <v>10286315</v>
      </c>
      <c r="B537" s="1" t="s">
        <v>893</v>
      </c>
      <c r="C537" s="1" t="s">
        <v>40</v>
      </c>
      <c r="D537" s="1">
        <v>4297755</v>
      </c>
      <c r="E537" s="1">
        <v>0</v>
      </c>
      <c r="F537" s="1" t="s">
        <v>25</v>
      </c>
      <c r="G537" s="1" t="s">
        <v>349</v>
      </c>
      <c r="H537" s="2">
        <v>42848</v>
      </c>
      <c r="I537" s="1" t="s">
        <v>25</v>
      </c>
      <c r="J537" s="2">
        <v>43048</v>
      </c>
      <c r="K537" s="3"/>
      <c r="L537" s="3">
        <v>150000</v>
      </c>
      <c r="M537" s="3">
        <v>150000</v>
      </c>
      <c r="N537" s="1">
        <v>1</v>
      </c>
      <c r="O537" s="1">
        <v>0</v>
      </c>
      <c r="P537" s="1">
        <v>1</v>
      </c>
      <c r="Q537" s="3"/>
      <c r="R537" s="3"/>
      <c r="S537" s="3">
        <v>150000</v>
      </c>
      <c r="T537" s="1">
        <v>0.54794520000000002</v>
      </c>
      <c r="U537" s="3"/>
      <c r="V537" s="3"/>
      <c r="X537" s="1">
        <v>150000</v>
      </c>
      <c r="Y537" s="22">
        <v>0.54794520000000002</v>
      </c>
      <c r="Z537" s="4">
        <f>Table1[[#This Row],[totalTimeKept]]*$AD$3</f>
        <v>8219.1779999999999</v>
      </c>
      <c r="AA537" s="4">
        <f>Y537-Z537</f>
        <v>-8218.6300547999999</v>
      </c>
    </row>
    <row r="538" spans="1:27" x14ac:dyDescent="0.3">
      <c r="A538" s="1">
        <v>10287714</v>
      </c>
      <c r="B538" s="1" t="s">
        <v>894</v>
      </c>
      <c r="C538" s="1" t="s">
        <v>336</v>
      </c>
      <c r="D538" s="1">
        <v>6674784</v>
      </c>
      <c r="E538" s="1">
        <v>0</v>
      </c>
      <c r="F538" s="1" t="s">
        <v>25</v>
      </c>
      <c r="G538" s="1" t="s">
        <v>46</v>
      </c>
      <c r="H538" s="2">
        <v>42868</v>
      </c>
      <c r="I538" s="2" t="s">
        <v>25</v>
      </c>
      <c r="J538" s="2">
        <v>43136</v>
      </c>
      <c r="K538" s="3"/>
      <c r="L538" s="3">
        <v>15000</v>
      </c>
      <c r="M538" s="3">
        <v>15000</v>
      </c>
      <c r="N538" s="1">
        <v>1</v>
      </c>
      <c r="O538" s="1">
        <v>0</v>
      </c>
      <c r="P538" s="1">
        <v>1</v>
      </c>
      <c r="Q538" s="3"/>
      <c r="R538" s="3"/>
      <c r="S538" s="3">
        <v>15000</v>
      </c>
      <c r="T538" s="1">
        <v>0.73424659999999997</v>
      </c>
      <c r="U538" s="3"/>
      <c r="V538" s="3"/>
      <c r="X538" s="1">
        <v>15000</v>
      </c>
      <c r="Y538" s="22">
        <v>0.73424659999999997</v>
      </c>
      <c r="Z538" s="4">
        <f>Table1[[#This Row],[totalTimeKept]]*$AD$3</f>
        <v>11013.698999999999</v>
      </c>
      <c r="AA538" s="4">
        <f>Y538-Z538</f>
        <v>-11012.9647534</v>
      </c>
    </row>
    <row r="539" spans="1:27" x14ac:dyDescent="0.3">
      <c r="A539" s="1">
        <v>10287732</v>
      </c>
      <c r="B539" s="1" t="s">
        <v>895</v>
      </c>
      <c r="C539" s="1" t="s">
        <v>896</v>
      </c>
      <c r="D539" s="1">
        <v>8888025</v>
      </c>
      <c r="E539" s="1">
        <v>42850</v>
      </c>
      <c r="F539" s="1" t="s">
        <v>46</v>
      </c>
      <c r="G539" s="1" t="s">
        <v>897</v>
      </c>
      <c r="H539" s="2">
        <v>42836</v>
      </c>
      <c r="I539" s="2">
        <v>43354</v>
      </c>
      <c r="J539" s="2">
        <v>44152</v>
      </c>
      <c r="K539" s="3">
        <v>600000</v>
      </c>
      <c r="L539" s="3">
        <v>85000</v>
      </c>
      <c r="M539" s="3">
        <v>-515000</v>
      </c>
      <c r="N539" s="1">
        <v>0</v>
      </c>
      <c r="O539" s="1">
        <v>1</v>
      </c>
      <c r="P539" s="1">
        <v>1</v>
      </c>
      <c r="Q539" s="3"/>
      <c r="R539" s="3"/>
      <c r="S539" s="3">
        <v>-472150</v>
      </c>
      <c r="T539" s="1">
        <v>2.1863009999999998</v>
      </c>
      <c r="U539" s="3"/>
      <c r="V539" s="3"/>
      <c r="X539" s="1">
        <v>-472150</v>
      </c>
      <c r="Y539" s="22">
        <v>2.1863009999999998</v>
      </c>
      <c r="Z539" s="4">
        <f>Table1[[#This Row],[totalTimeKept]]*$AD$3</f>
        <v>32794.514999999999</v>
      </c>
      <c r="AA539" s="4">
        <f>Y539-Z539</f>
        <v>-32792.328698999998</v>
      </c>
    </row>
    <row r="540" spans="1:27" x14ac:dyDescent="0.3">
      <c r="A540" s="1">
        <v>10289078</v>
      </c>
      <c r="B540" s="1" t="s">
        <v>898</v>
      </c>
      <c r="C540" s="1" t="s">
        <v>462</v>
      </c>
      <c r="D540" s="1">
        <v>4307108</v>
      </c>
      <c r="E540" s="1">
        <v>72740</v>
      </c>
      <c r="F540" s="1" t="s">
        <v>25</v>
      </c>
      <c r="G540" s="1" t="s">
        <v>25</v>
      </c>
      <c r="H540" s="2">
        <v>42779</v>
      </c>
      <c r="I540" s="2" t="s">
        <v>25</v>
      </c>
      <c r="J540" s="2" t="s">
        <v>25</v>
      </c>
      <c r="K540" s="3"/>
      <c r="L540" s="3"/>
      <c r="M540" s="3">
        <v>0</v>
      </c>
      <c r="N540" s="1">
        <v>1</v>
      </c>
      <c r="P540" s="1">
        <v>0</v>
      </c>
      <c r="Q540" s="3">
        <v>30000</v>
      </c>
      <c r="R540" s="3"/>
      <c r="S540" s="3">
        <v>42740</v>
      </c>
      <c r="T540" s="1">
        <v>8.0164380000000008</v>
      </c>
      <c r="U540" s="3"/>
      <c r="V540" s="3"/>
      <c r="X540" s="1">
        <v>42740</v>
      </c>
      <c r="Y540" s="22">
        <v>8.0164380000000008</v>
      </c>
      <c r="Z540" s="4">
        <f>Table1[[#This Row],[totalTimeKept]]*$AD$3</f>
        <v>120246.57</v>
      </c>
      <c r="AA540" s="4">
        <f>Y540-Z540</f>
        <v>-120238.553562</v>
      </c>
    </row>
    <row r="541" spans="1:27" x14ac:dyDescent="0.3">
      <c r="A541" s="1">
        <v>10289094</v>
      </c>
      <c r="B541" s="1" t="s">
        <v>899</v>
      </c>
      <c r="C541" s="1" t="s">
        <v>99</v>
      </c>
      <c r="D541" s="1">
        <v>6488449</v>
      </c>
      <c r="E541" s="1">
        <v>24100</v>
      </c>
      <c r="F541" s="1" t="s">
        <v>25</v>
      </c>
      <c r="G541" s="1" t="s">
        <v>846</v>
      </c>
      <c r="H541" s="2">
        <v>42803</v>
      </c>
      <c r="I541" s="1" t="s">
        <v>25</v>
      </c>
      <c r="J541" s="2">
        <v>44025</v>
      </c>
      <c r="K541" s="3"/>
      <c r="L541" s="3">
        <v>37000</v>
      </c>
      <c r="M541" s="3">
        <v>37000</v>
      </c>
      <c r="N541" s="1">
        <v>1</v>
      </c>
      <c r="O541" s="1">
        <v>0</v>
      </c>
      <c r="P541" s="1">
        <v>1</v>
      </c>
      <c r="Q541" s="3"/>
      <c r="R541" s="3"/>
      <c r="S541" s="3">
        <v>61100</v>
      </c>
      <c r="T541" s="1">
        <v>3.3479450000000002</v>
      </c>
      <c r="U541" s="3"/>
      <c r="V541" s="3"/>
      <c r="X541" s="1">
        <v>61100</v>
      </c>
      <c r="Y541" s="22">
        <v>3.3479450000000002</v>
      </c>
      <c r="Z541" s="4">
        <f>Table1[[#This Row],[totalTimeKept]]*$AD$3</f>
        <v>50219.175000000003</v>
      </c>
      <c r="AA541" s="4">
        <f>Y541-Z541</f>
        <v>-50215.827055000002</v>
      </c>
    </row>
    <row r="542" spans="1:27" x14ac:dyDescent="0.3">
      <c r="A542" s="1">
        <v>10289097</v>
      </c>
      <c r="B542" s="1" t="s">
        <v>900</v>
      </c>
      <c r="C542" s="1" t="s">
        <v>382</v>
      </c>
      <c r="D542" s="1">
        <v>8875875</v>
      </c>
      <c r="E542" s="1">
        <v>0</v>
      </c>
      <c r="F542" s="1" t="s">
        <v>25</v>
      </c>
      <c r="G542" s="1" t="s">
        <v>349</v>
      </c>
      <c r="H542" s="2">
        <v>42808</v>
      </c>
      <c r="I542" s="2" t="s">
        <v>25</v>
      </c>
      <c r="J542" s="2">
        <v>43050</v>
      </c>
      <c r="K542" s="3"/>
      <c r="L542" s="3">
        <v>150000</v>
      </c>
      <c r="M542" s="3">
        <v>150000</v>
      </c>
      <c r="N542" s="1">
        <v>1</v>
      </c>
      <c r="O542" s="1">
        <v>0</v>
      </c>
      <c r="P542" s="1">
        <v>1</v>
      </c>
      <c r="Q542" s="3"/>
      <c r="R542" s="3"/>
      <c r="S542" s="3">
        <v>150000</v>
      </c>
      <c r="T542" s="1">
        <v>0.66301370000000004</v>
      </c>
      <c r="U542" s="3"/>
      <c r="V542" s="3"/>
      <c r="X542" s="1">
        <v>150000</v>
      </c>
      <c r="Y542" s="22">
        <v>0.66301370000000004</v>
      </c>
      <c r="Z542" s="4">
        <f>Table1[[#This Row],[totalTimeKept]]*$AD$3</f>
        <v>9945.2055</v>
      </c>
      <c r="AA542" s="4">
        <f>Y542-Z542</f>
        <v>-9944.5424863000007</v>
      </c>
    </row>
    <row r="543" spans="1:27" x14ac:dyDescent="0.3">
      <c r="A543" s="1">
        <v>10289101</v>
      </c>
      <c r="B543" s="1" t="s">
        <v>901</v>
      </c>
      <c r="C543" s="1" t="s">
        <v>89</v>
      </c>
      <c r="D543" s="1">
        <v>6163506</v>
      </c>
      <c r="E543" s="1">
        <v>0</v>
      </c>
      <c r="F543" s="1" t="s">
        <v>25</v>
      </c>
      <c r="G543" s="1" t="s">
        <v>46</v>
      </c>
      <c r="H543" s="2">
        <v>42871</v>
      </c>
      <c r="I543" s="1" t="s">
        <v>25</v>
      </c>
      <c r="J543" s="2">
        <v>43353</v>
      </c>
      <c r="K543" s="3"/>
      <c r="L543" s="3">
        <v>600000</v>
      </c>
      <c r="M543" s="3">
        <v>600000</v>
      </c>
      <c r="N543" s="1">
        <v>1</v>
      </c>
      <c r="O543" s="1">
        <v>0</v>
      </c>
      <c r="P543" s="1">
        <v>1</v>
      </c>
      <c r="Q543" s="3"/>
      <c r="R543" s="3"/>
      <c r="S543" s="3">
        <v>600000</v>
      </c>
      <c r="T543" s="1">
        <v>1.3205480000000001</v>
      </c>
      <c r="U543" s="3"/>
      <c r="V543" s="3"/>
      <c r="X543" s="1">
        <v>600000</v>
      </c>
      <c r="Y543" s="22">
        <v>1.3205480000000001</v>
      </c>
      <c r="Z543" s="4">
        <f>Table1[[#This Row],[totalTimeKept]]*$AD$3</f>
        <v>19808.22</v>
      </c>
      <c r="AA543" s="4">
        <f>Y543-Z543</f>
        <v>-19806.899452000001</v>
      </c>
    </row>
    <row r="544" spans="1:27" x14ac:dyDescent="0.3">
      <c r="A544" s="1">
        <v>10289181</v>
      </c>
      <c r="B544" s="1" t="s">
        <v>902</v>
      </c>
      <c r="C544" s="1" t="s">
        <v>400</v>
      </c>
      <c r="D544" s="1">
        <v>8926093</v>
      </c>
      <c r="E544" s="1">
        <v>0</v>
      </c>
      <c r="F544" s="1" t="s">
        <v>25</v>
      </c>
      <c r="G544" s="1" t="s">
        <v>349</v>
      </c>
      <c r="H544" s="2">
        <v>42814</v>
      </c>
      <c r="I544" s="1" t="s">
        <v>25</v>
      </c>
      <c r="J544" s="2">
        <v>43048</v>
      </c>
      <c r="K544" s="3"/>
      <c r="L544" s="3">
        <v>150000</v>
      </c>
      <c r="M544" s="3">
        <v>150000</v>
      </c>
      <c r="N544" s="1">
        <v>1</v>
      </c>
      <c r="O544" s="1">
        <v>0</v>
      </c>
      <c r="P544" s="1">
        <v>1</v>
      </c>
      <c r="Q544" s="3"/>
      <c r="R544" s="3"/>
      <c r="S544" s="3">
        <v>150000</v>
      </c>
      <c r="T544" s="1">
        <v>0.64109590000000005</v>
      </c>
      <c r="U544" s="3"/>
      <c r="V544" s="3"/>
      <c r="X544" s="1">
        <v>150000</v>
      </c>
      <c r="Y544" s="22">
        <v>0.64109590000000005</v>
      </c>
      <c r="Z544" s="4">
        <f>Table1[[#This Row],[totalTimeKept]]*$AD$3</f>
        <v>9616.4385000000002</v>
      </c>
      <c r="AA544" s="4">
        <f>Y544-Z544</f>
        <v>-9615.7974040999998</v>
      </c>
    </row>
    <row r="545" spans="1:27" x14ac:dyDescent="0.3">
      <c r="A545" s="1">
        <v>10291269</v>
      </c>
      <c r="B545" s="1" t="s">
        <v>903</v>
      </c>
      <c r="C545" s="1" t="s">
        <v>358</v>
      </c>
      <c r="D545" s="1">
        <v>8850562</v>
      </c>
      <c r="E545" s="1">
        <v>0</v>
      </c>
      <c r="F545" s="1" t="s">
        <v>25</v>
      </c>
      <c r="G545" s="1" t="s">
        <v>349</v>
      </c>
      <c r="H545" s="2">
        <v>42817</v>
      </c>
      <c r="I545" s="1" t="s">
        <v>25</v>
      </c>
      <c r="J545" s="2">
        <v>43046</v>
      </c>
      <c r="K545" s="3"/>
      <c r="L545" s="3">
        <v>275000</v>
      </c>
      <c r="M545" s="3">
        <v>275000</v>
      </c>
      <c r="N545" s="1">
        <v>1</v>
      </c>
      <c r="O545" s="1">
        <v>0</v>
      </c>
      <c r="P545" s="1">
        <v>1</v>
      </c>
      <c r="Q545" s="3"/>
      <c r="R545" s="3"/>
      <c r="S545" s="3">
        <v>275000</v>
      </c>
      <c r="T545" s="1">
        <v>0.62739719999999999</v>
      </c>
      <c r="U545" s="3"/>
      <c r="V545" s="3"/>
      <c r="X545" s="1">
        <v>275000</v>
      </c>
      <c r="Y545" s="22">
        <v>0.62739719999999999</v>
      </c>
      <c r="Z545" s="4">
        <f>Table1[[#This Row],[totalTimeKept]]*$AD$3</f>
        <v>9410.9580000000005</v>
      </c>
      <c r="AA545" s="4">
        <f>Y545-Z545</f>
        <v>-9410.3306028000006</v>
      </c>
    </row>
    <row r="546" spans="1:27" x14ac:dyDescent="0.3">
      <c r="A546" s="1">
        <v>10291272</v>
      </c>
      <c r="B546" s="1" t="s">
        <v>904</v>
      </c>
      <c r="C546" s="1" t="s">
        <v>570</v>
      </c>
      <c r="D546" s="1">
        <v>9492639</v>
      </c>
      <c r="E546" s="1">
        <v>0</v>
      </c>
      <c r="F546" s="1" t="s">
        <v>25</v>
      </c>
      <c r="G546" s="1" t="s">
        <v>349</v>
      </c>
      <c r="H546" s="2">
        <v>42828</v>
      </c>
      <c r="I546" s="1" t="s">
        <v>25</v>
      </c>
      <c r="J546" s="2">
        <v>43050</v>
      </c>
      <c r="K546" s="3"/>
      <c r="L546" s="3">
        <v>95000</v>
      </c>
      <c r="M546" s="3">
        <v>95000</v>
      </c>
      <c r="N546" s="1">
        <v>1</v>
      </c>
      <c r="O546" s="1">
        <v>0</v>
      </c>
      <c r="P546" s="1">
        <v>1</v>
      </c>
      <c r="Q546" s="3"/>
      <c r="R546" s="3"/>
      <c r="S546" s="3">
        <v>95000</v>
      </c>
      <c r="T546" s="1">
        <v>0.60821919999999996</v>
      </c>
      <c r="U546" s="3"/>
      <c r="V546" s="3"/>
      <c r="X546" s="1">
        <v>95000</v>
      </c>
      <c r="Y546" s="22">
        <v>0.60821919999999996</v>
      </c>
      <c r="Z546" s="4">
        <f>Table1[[#This Row],[totalTimeKept]]*$AD$3</f>
        <v>9123.2879999999986</v>
      </c>
      <c r="AA546" s="4">
        <f>Y546-Z546</f>
        <v>-9122.6797807999992</v>
      </c>
    </row>
    <row r="547" spans="1:27" x14ac:dyDescent="0.3">
      <c r="A547" s="1">
        <v>10291273</v>
      </c>
      <c r="B547" s="1" t="s">
        <v>905</v>
      </c>
      <c r="C547" s="1" t="s">
        <v>316</v>
      </c>
      <c r="D547" s="1">
        <v>8603882</v>
      </c>
      <c r="E547" s="1">
        <v>0</v>
      </c>
      <c r="F547" s="1" t="s">
        <v>25</v>
      </c>
      <c r="G547" s="1" t="s">
        <v>349</v>
      </c>
      <c r="H547" s="2">
        <v>42828</v>
      </c>
      <c r="I547" s="1" t="s">
        <v>25</v>
      </c>
      <c r="J547" s="2">
        <v>43047</v>
      </c>
      <c r="K547" s="3"/>
      <c r="L547" s="3">
        <v>220000</v>
      </c>
      <c r="M547" s="3">
        <v>220000</v>
      </c>
      <c r="N547" s="1">
        <v>1</v>
      </c>
      <c r="O547" s="1">
        <v>0</v>
      </c>
      <c r="P547" s="1">
        <v>1</v>
      </c>
      <c r="Q547" s="3"/>
      <c r="R547" s="3"/>
      <c r="S547" s="3">
        <v>220000</v>
      </c>
      <c r="T547" s="1">
        <v>0.6</v>
      </c>
      <c r="U547" s="3"/>
      <c r="V547" s="3"/>
      <c r="X547" s="1">
        <v>220000</v>
      </c>
      <c r="Y547" s="22">
        <v>0.6</v>
      </c>
      <c r="Z547" s="4">
        <f>Table1[[#This Row],[totalTimeKept]]*$AD$3</f>
        <v>9000</v>
      </c>
      <c r="AA547" s="4">
        <f>Y547-Z547</f>
        <v>-8999.4</v>
      </c>
    </row>
    <row r="548" spans="1:27" x14ac:dyDescent="0.3">
      <c r="A548" s="1">
        <v>10291287</v>
      </c>
      <c r="B548" s="1" t="s">
        <v>906</v>
      </c>
      <c r="C548" s="1" t="s">
        <v>201</v>
      </c>
      <c r="D548" s="1">
        <v>7742433</v>
      </c>
      <c r="E548" s="1">
        <v>0</v>
      </c>
      <c r="F548" s="1" t="s">
        <v>25</v>
      </c>
      <c r="G548" s="1" t="s">
        <v>46</v>
      </c>
      <c r="H548" s="2">
        <v>42843</v>
      </c>
      <c r="I548" s="1" t="s">
        <v>25</v>
      </c>
      <c r="J548" s="2">
        <v>43396</v>
      </c>
      <c r="K548" s="3"/>
      <c r="L548" s="3">
        <v>50000</v>
      </c>
      <c r="M548" s="3">
        <v>50000</v>
      </c>
      <c r="N548" s="1">
        <v>1</v>
      </c>
      <c r="O548" s="1">
        <v>0</v>
      </c>
      <c r="P548" s="1">
        <v>1</v>
      </c>
      <c r="Q548" s="3"/>
      <c r="R548" s="3"/>
      <c r="S548" s="3">
        <v>50000</v>
      </c>
      <c r="T548" s="1">
        <v>1.515069</v>
      </c>
      <c r="U548" s="3"/>
      <c r="V548" s="3"/>
      <c r="X548" s="1">
        <v>50000</v>
      </c>
      <c r="Y548" s="22">
        <v>1.515069</v>
      </c>
      <c r="Z548" s="4">
        <f>Table1[[#This Row],[totalTimeKept]]*$AD$3</f>
        <v>22726.035</v>
      </c>
      <c r="AA548" s="4">
        <f>Y548-Z548</f>
        <v>-22724.519930999999</v>
      </c>
    </row>
    <row r="549" spans="1:27" x14ac:dyDescent="0.3">
      <c r="A549" s="1">
        <v>10291303</v>
      </c>
      <c r="B549" s="1" t="s">
        <v>907</v>
      </c>
      <c r="C549" s="1" t="s">
        <v>133</v>
      </c>
      <c r="D549" s="1">
        <v>7128556</v>
      </c>
      <c r="E549" s="1">
        <v>0</v>
      </c>
      <c r="F549" s="1" t="s">
        <v>25</v>
      </c>
      <c r="G549" s="1" t="s">
        <v>46</v>
      </c>
      <c r="H549" s="2">
        <v>42848</v>
      </c>
      <c r="I549" s="2" t="s">
        <v>25</v>
      </c>
      <c r="J549" s="2">
        <v>43355</v>
      </c>
      <c r="K549" s="3"/>
      <c r="L549" s="3">
        <v>150000</v>
      </c>
      <c r="M549" s="3">
        <v>150000</v>
      </c>
      <c r="N549" s="1">
        <v>1</v>
      </c>
      <c r="O549" s="1">
        <v>0</v>
      </c>
      <c r="P549" s="1">
        <v>1</v>
      </c>
      <c r="Q549" s="3"/>
      <c r="R549" s="3"/>
      <c r="S549" s="3">
        <v>150000</v>
      </c>
      <c r="T549" s="1">
        <v>1.389041</v>
      </c>
      <c r="U549" s="3"/>
      <c r="V549" s="3"/>
      <c r="X549" s="1">
        <v>150000</v>
      </c>
      <c r="Y549" s="22">
        <v>1.389041</v>
      </c>
      <c r="Z549" s="4">
        <f>Table1[[#This Row],[totalTimeKept]]*$AD$3</f>
        <v>20835.614999999998</v>
      </c>
      <c r="AA549" s="4">
        <f>Y549-Z549</f>
        <v>-20834.225958999999</v>
      </c>
    </row>
    <row r="550" spans="1:27" x14ac:dyDescent="0.3">
      <c r="A550" s="1">
        <v>10291306</v>
      </c>
      <c r="B550" s="1" t="s">
        <v>908</v>
      </c>
      <c r="C550" s="1" t="s">
        <v>673</v>
      </c>
      <c r="D550" s="1">
        <v>8575239</v>
      </c>
      <c r="E550" s="1">
        <v>0</v>
      </c>
      <c r="F550" s="1" t="s">
        <v>25</v>
      </c>
      <c r="G550" s="1" t="s">
        <v>46</v>
      </c>
      <c r="H550" s="2">
        <v>42850</v>
      </c>
      <c r="I550" s="1" t="s">
        <v>25</v>
      </c>
      <c r="J550" s="2">
        <v>43360</v>
      </c>
      <c r="K550" s="3"/>
      <c r="L550" s="3">
        <v>40000</v>
      </c>
      <c r="M550" s="3">
        <v>40000</v>
      </c>
      <c r="N550" s="1">
        <v>1</v>
      </c>
      <c r="O550" s="1">
        <v>0</v>
      </c>
      <c r="P550" s="1">
        <v>1</v>
      </c>
      <c r="Q550" s="3"/>
      <c r="R550" s="3"/>
      <c r="S550" s="3">
        <v>40000</v>
      </c>
      <c r="T550" s="1">
        <v>1.3972599999999999</v>
      </c>
      <c r="U550" s="3"/>
      <c r="V550" s="3"/>
      <c r="X550" s="1">
        <v>40000</v>
      </c>
      <c r="Y550" s="22">
        <v>1.3972599999999999</v>
      </c>
      <c r="Z550" s="4">
        <f>Table1[[#This Row],[totalTimeKept]]*$AD$3</f>
        <v>20958.899999999998</v>
      </c>
      <c r="AA550" s="4">
        <f>Y550-Z550</f>
        <v>-20957.502739999996</v>
      </c>
    </row>
    <row r="551" spans="1:27" x14ac:dyDescent="0.3">
      <c r="A551" s="1">
        <v>10291308</v>
      </c>
      <c r="B551" s="1" t="s">
        <v>909</v>
      </c>
      <c r="C551" s="1" t="s">
        <v>612</v>
      </c>
      <c r="D551" s="1">
        <v>6559714</v>
      </c>
      <c r="E551" s="1">
        <v>0</v>
      </c>
      <c r="F551" s="1" t="s">
        <v>25</v>
      </c>
      <c r="G551" s="1" t="s">
        <v>349</v>
      </c>
      <c r="H551" s="2">
        <v>42854</v>
      </c>
      <c r="I551" s="1" t="s">
        <v>25</v>
      </c>
      <c r="J551" s="2">
        <v>43045</v>
      </c>
      <c r="K551" s="3"/>
      <c r="L551" s="3">
        <v>650000</v>
      </c>
      <c r="M551" s="3">
        <v>650000</v>
      </c>
      <c r="N551" s="1">
        <v>1</v>
      </c>
      <c r="O551" s="1">
        <v>0</v>
      </c>
      <c r="P551" s="1">
        <v>1</v>
      </c>
      <c r="Q551" s="3"/>
      <c r="R551" s="3"/>
      <c r="S551" s="3">
        <v>650000</v>
      </c>
      <c r="T551" s="1">
        <v>0.52328770000000002</v>
      </c>
      <c r="U551" s="3"/>
      <c r="V551" s="3"/>
      <c r="X551" s="1">
        <v>650000</v>
      </c>
      <c r="Y551" s="22">
        <v>0.52328770000000002</v>
      </c>
      <c r="Z551" s="4">
        <f>Table1[[#This Row],[totalTimeKept]]*$AD$3</f>
        <v>7849.3155000000006</v>
      </c>
      <c r="AA551" s="4">
        <f>Y551-Z551</f>
        <v>-7848.7922123000008</v>
      </c>
    </row>
    <row r="552" spans="1:27" x14ac:dyDescent="0.3">
      <c r="A552" s="1">
        <v>10291311</v>
      </c>
      <c r="B552" s="1" t="s">
        <v>910</v>
      </c>
      <c r="C552" s="1" t="s">
        <v>53</v>
      </c>
      <c r="D552" s="1">
        <v>4530465</v>
      </c>
      <c r="E552" s="1">
        <v>0</v>
      </c>
      <c r="F552" s="1" t="s">
        <v>25</v>
      </c>
      <c r="G552" s="1" t="s">
        <v>46</v>
      </c>
      <c r="H552" s="2">
        <v>42858</v>
      </c>
      <c r="I552" s="1" t="s">
        <v>25</v>
      </c>
      <c r="J552" s="2">
        <v>43396</v>
      </c>
      <c r="K552" s="3"/>
      <c r="L552" s="3">
        <v>20000</v>
      </c>
      <c r="M552" s="3">
        <v>20000</v>
      </c>
      <c r="N552" s="1">
        <v>1</v>
      </c>
      <c r="O552" s="1">
        <v>0</v>
      </c>
      <c r="P552" s="1">
        <v>1</v>
      </c>
      <c r="Q552" s="3"/>
      <c r="R552" s="3"/>
      <c r="S552" s="3">
        <v>20000</v>
      </c>
      <c r="T552" s="1">
        <v>1.473973</v>
      </c>
      <c r="U552" s="3"/>
      <c r="V552" s="3"/>
      <c r="X552" s="1">
        <v>20000</v>
      </c>
      <c r="Y552" s="22">
        <v>1.473973</v>
      </c>
      <c r="Z552" s="4">
        <f>Table1[[#This Row],[totalTimeKept]]*$AD$3</f>
        <v>22109.595000000001</v>
      </c>
      <c r="AA552" s="4">
        <f>Y552-Z552</f>
        <v>-22108.121027000001</v>
      </c>
    </row>
    <row r="553" spans="1:27" x14ac:dyDescent="0.3">
      <c r="A553" s="1">
        <v>10291313</v>
      </c>
      <c r="B553" s="1" t="s">
        <v>911</v>
      </c>
      <c r="C553" s="1" t="s">
        <v>457</v>
      </c>
      <c r="D553" s="1">
        <v>9214747</v>
      </c>
      <c r="E553" s="1">
        <v>0</v>
      </c>
      <c r="F553" s="1" t="s">
        <v>25</v>
      </c>
      <c r="G553" s="1" t="s">
        <v>349</v>
      </c>
      <c r="H553" s="2">
        <v>42866</v>
      </c>
      <c r="I553" s="1" t="s">
        <v>25</v>
      </c>
      <c r="J553" s="2">
        <v>43046</v>
      </c>
      <c r="K553" s="3"/>
      <c r="L553" s="3">
        <v>775000</v>
      </c>
      <c r="M553" s="3">
        <v>775000</v>
      </c>
      <c r="N553" s="1">
        <v>1</v>
      </c>
      <c r="O553" s="1">
        <v>0</v>
      </c>
      <c r="P553" s="1">
        <v>1</v>
      </c>
      <c r="Q553" s="3"/>
      <c r="R553" s="3"/>
      <c r="S553" s="3">
        <v>775000</v>
      </c>
      <c r="T553" s="1">
        <v>0.4931507</v>
      </c>
      <c r="U553" s="3"/>
      <c r="V553" s="3"/>
      <c r="X553" s="1">
        <v>775000</v>
      </c>
      <c r="Y553" s="22">
        <v>0.4931507</v>
      </c>
      <c r="Z553" s="4">
        <f>Table1[[#This Row],[totalTimeKept]]*$AD$3</f>
        <v>7397.2605000000003</v>
      </c>
      <c r="AA553" s="4">
        <f>Y553-Z553</f>
        <v>-7396.7673493000002</v>
      </c>
    </row>
    <row r="554" spans="1:27" x14ac:dyDescent="0.3">
      <c r="A554" s="1">
        <v>10291314</v>
      </c>
      <c r="B554" s="1" t="s">
        <v>912</v>
      </c>
      <c r="C554" s="1" t="s">
        <v>288</v>
      </c>
      <c r="D554" s="1">
        <v>8546972</v>
      </c>
      <c r="E554" s="1">
        <v>0</v>
      </c>
      <c r="F554" s="1" t="s">
        <v>25</v>
      </c>
      <c r="G554" s="1" t="s">
        <v>46</v>
      </c>
      <c r="H554" s="2">
        <v>42868</v>
      </c>
      <c r="I554" s="1" t="s">
        <v>25</v>
      </c>
      <c r="J554" s="2">
        <v>43359</v>
      </c>
      <c r="K554" s="3"/>
      <c r="L554" s="3">
        <v>16000</v>
      </c>
      <c r="M554" s="3">
        <v>16000</v>
      </c>
      <c r="N554" s="1">
        <v>1</v>
      </c>
      <c r="O554" s="1">
        <v>0</v>
      </c>
      <c r="P554" s="1">
        <v>1</v>
      </c>
      <c r="Q554" s="3"/>
      <c r="R554" s="3"/>
      <c r="S554" s="3">
        <v>16000</v>
      </c>
      <c r="T554" s="1">
        <v>1.345205</v>
      </c>
      <c r="U554" s="3"/>
      <c r="V554" s="3"/>
      <c r="X554" s="1">
        <v>16000</v>
      </c>
      <c r="Y554" s="22">
        <v>1.345205</v>
      </c>
      <c r="Z554" s="4">
        <f>Table1[[#This Row],[totalTimeKept]]*$AD$3</f>
        <v>20178.075000000001</v>
      </c>
      <c r="AA554" s="4">
        <f>Y554-Z554</f>
        <v>-20176.729794999999</v>
      </c>
    </row>
    <row r="555" spans="1:27" x14ac:dyDescent="0.3">
      <c r="A555" s="1">
        <v>10291316</v>
      </c>
      <c r="B555" s="1" t="s">
        <v>913</v>
      </c>
      <c r="C555" s="1" t="s">
        <v>477</v>
      </c>
      <c r="D555" s="1">
        <v>6909698</v>
      </c>
      <c r="E555" s="1">
        <v>0</v>
      </c>
      <c r="F555" s="1" t="s">
        <v>25</v>
      </c>
      <c r="G555" s="1" t="s">
        <v>46</v>
      </c>
      <c r="H555" s="2">
        <v>42875</v>
      </c>
      <c r="I555" s="1" t="s">
        <v>25</v>
      </c>
      <c r="J555" s="2">
        <v>43353</v>
      </c>
      <c r="K555" s="3"/>
      <c r="L555" s="3">
        <v>310000</v>
      </c>
      <c r="M555" s="3">
        <v>310000</v>
      </c>
      <c r="N555" s="1">
        <v>1</v>
      </c>
      <c r="O555" s="1">
        <v>0</v>
      </c>
      <c r="P555" s="1">
        <v>1</v>
      </c>
      <c r="Q555" s="3"/>
      <c r="R555" s="3"/>
      <c r="S555" s="3">
        <v>310000</v>
      </c>
      <c r="T555" s="1">
        <v>1.3095889999999999</v>
      </c>
      <c r="U555" s="3"/>
      <c r="V555" s="3"/>
      <c r="X555" s="1">
        <v>310000</v>
      </c>
      <c r="Y555" s="22">
        <v>1.3095889999999999</v>
      </c>
      <c r="Z555" s="4">
        <f>Table1[[#This Row],[totalTimeKept]]*$AD$3</f>
        <v>19643.834999999999</v>
      </c>
      <c r="AA555" s="4">
        <f>Y555-Z555</f>
        <v>-19642.525410999999</v>
      </c>
    </row>
    <row r="556" spans="1:27" x14ac:dyDescent="0.3">
      <c r="A556" s="1">
        <v>10292622</v>
      </c>
      <c r="B556" s="1" t="s">
        <v>914</v>
      </c>
      <c r="C556" s="1" t="s">
        <v>915</v>
      </c>
      <c r="D556" s="1">
        <v>7773209</v>
      </c>
      <c r="E556" s="1">
        <v>0</v>
      </c>
      <c r="F556" s="1" t="s">
        <v>46</v>
      </c>
      <c r="G556" s="1" t="s">
        <v>25</v>
      </c>
      <c r="H556" s="2">
        <v>42800</v>
      </c>
      <c r="I556" s="2">
        <v>43357</v>
      </c>
      <c r="J556" s="1" t="s">
        <v>25</v>
      </c>
      <c r="K556" s="3">
        <v>210000</v>
      </c>
      <c r="L556" s="3"/>
      <c r="M556" s="3">
        <v>-210000</v>
      </c>
      <c r="N556" s="1">
        <v>0</v>
      </c>
      <c r="O556" s="1">
        <v>1</v>
      </c>
      <c r="P556" s="1">
        <v>0</v>
      </c>
      <c r="Q556" s="3"/>
      <c r="R556" s="3"/>
      <c r="S556" s="3">
        <v>-210000</v>
      </c>
      <c r="T556" s="1">
        <v>6.4328770000000004</v>
      </c>
      <c r="U556" s="3"/>
      <c r="V556" s="3"/>
      <c r="X556" s="1">
        <v>-210000</v>
      </c>
      <c r="Y556" s="22">
        <v>6.4328770000000004</v>
      </c>
      <c r="Z556" s="4">
        <f>Table1[[#This Row],[totalTimeKept]]*$AD$3</f>
        <v>96493.154999999999</v>
      </c>
      <c r="AA556" s="4">
        <f>Y556-Z556</f>
        <v>-96486.722123</v>
      </c>
    </row>
    <row r="557" spans="1:27" x14ac:dyDescent="0.3">
      <c r="A557" s="1">
        <v>10295825</v>
      </c>
      <c r="B557" s="1" t="s">
        <v>916</v>
      </c>
      <c r="C557" s="1" t="s">
        <v>917</v>
      </c>
      <c r="D557" s="1">
        <v>6506898</v>
      </c>
      <c r="E557" s="1">
        <v>80850</v>
      </c>
      <c r="F557" s="1" t="s">
        <v>46</v>
      </c>
      <c r="G557" s="1" t="s">
        <v>25</v>
      </c>
      <c r="H557" s="2">
        <v>42860</v>
      </c>
      <c r="I557" s="2">
        <v>43356</v>
      </c>
      <c r="J557" s="2" t="s">
        <v>25</v>
      </c>
      <c r="K557" s="3">
        <v>550000</v>
      </c>
      <c r="L557" s="3"/>
      <c r="M557" s="3">
        <v>-550000</v>
      </c>
      <c r="N557" s="1">
        <v>0</v>
      </c>
      <c r="O557" s="1">
        <v>1</v>
      </c>
      <c r="P557" s="1">
        <v>0</v>
      </c>
      <c r="Q557" s="3"/>
      <c r="R557" s="3"/>
      <c r="S557" s="3">
        <v>-469150</v>
      </c>
      <c r="T557" s="1">
        <v>6.4356159999999996</v>
      </c>
      <c r="U557" s="3"/>
      <c r="V557" s="3"/>
      <c r="X557" s="1">
        <v>-469150</v>
      </c>
      <c r="Y557" s="22">
        <v>6.4356159999999996</v>
      </c>
      <c r="Z557" s="4">
        <f>Table1[[#This Row],[totalTimeKept]]*$AD$3</f>
        <v>96534.239999999991</v>
      </c>
      <c r="AA557" s="4">
        <f>Y557-Z557</f>
        <v>-96527.804383999988</v>
      </c>
    </row>
    <row r="558" spans="1:27" x14ac:dyDescent="0.3">
      <c r="A558" s="1">
        <v>10301834</v>
      </c>
      <c r="B558" s="1" t="s">
        <v>918</v>
      </c>
      <c r="C558" s="1" t="s">
        <v>179</v>
      </c>
      <c r="D558" s="1">
        <v>7521190</v>
      </c>
      <c r="E558" s="1">
        <v>0</v>
      </c>
      <c r="F558" s="1" t="s">
        <v>25</v>
      </c>
      <c r="G558" s="1" t="s">
        <v>46</v>
      </c>
      <c r="H558" s="2">
        <v>42830</v>
      </c>
      <c r="I558" s="1" t="s">
        <v>25</v>
      </c>
      <c r="J558" s="2">
        <v>43331</v>
      </c>
      <c r="K558" s="3"/>
      <c r="L558" s="3">
        <v>1029420</v>
      </c>
      <c r="M558" s="3">
        <v>1029420</v>
      </c>
      <c r="N558" s="1">
        <v>1</v>
      </c>
      <c r="O558" s="1">
        <v>0</v>
      </c>
      <c r="P558" s="1">
        <v>1</v>
      </c>
      <c r="Q558" s="3"/>
      <c r="R558" s="3"/>
      <c r="S558" s="3">
        <v>1029420</v>
      </c>
      <c r="T558" s="1">
        <v>1.372603</v>
      </c>
      <c r="U558" s="3"/>
      <c r="V558" s="3"/>
      <c r="X558" s="1">
        <v>1029420</v>
      </c>
      <c r="Y558" s="22">
        <v>1.372603</v>
      </c>
      <c r="Z558" s="4">
        <f>Table1[[#This Row],[totalTimeKept]]*$AD$3</f>
        <v>20589.045000000002</v>
      </c>
      <c r="AA558" s="4">
        <f>Y558-Z558</f>
        <v>-20587.672397000002</v>
      </c>
    </row>
    <row r="559" spans="1:27" x14ac:dyDescent="0.3">
      <c r="A559" s="1">
        <v>10302545</v>
      </c>
      <c r="B559" s="1" t="s">
        <v>919</v>
      </c>
      <c r="C559" s="1" t="s">
        <v>154</v>
      </c>
      <c r="D559" s="1">
        <v>7380864</v>
      </c>
      <c r="E559" s="1">
        <v>0</v>
      </c>
      <c r="F559" s="1" t="s">
        <v>25</v>
      </c>
      <c r="G559" s="1" t="s">
        <v>349</v>
      </c>
      <c r="H559" s="2">
        <v>42881</v>
      </c>
      <c r="I559" s="1" t="s">
        <v>25</v>
      </c>
      <c r="J559" s="2">
        <v>43047</v>
      </c>
      <c r="K559" s="3"/>
      <c r="L559" s="3">
        <v>675000</v>
      </c>
      <c r="M559" s="3">
        <v>675000</v>
      </c>
      <c r="N559" s="1">
        <v>1</v>
      </c>
      <c r="O559" s="1">
        <v>0</v>
      </c>
      <c r="P559" s="1">
        <v>1</v>
      </c>
      <c r="Q559" s="3"/>
      <c r="R559" s="3"/>
      <c r="S559" s="3">
        <v>675000</v>
      </c>
      <c r="T559" s="1">
        <v>0.45479449999999999</v>
      </c>
      <c r="U559" s="3"/>
      <c r="V559" s="3"/>
      <c r="X559" s="1">
        <v>675000</v>
      </c>
      <c r="Y559" s="22">
        <v>0.45479449999999999</v>
      </c>
      <c r="Z559" s="4">
        <f>Table1[[#This Row],[totalTimeKept]]*$AD$3</f>
        <v>6821.9174999999996</v>
      </c>
      <c r="AA559" s="4">
        <f>Y559-Z559</f>
        <v>-6821.4627054999992</v>
      </c>
    </row>
    <row r="560" spans="1:27" x14ac:dyDescent="0.3">
      <c r="A560" s="1">
        <v>10302549</v>
      </c>
      <c r="B560" s="1" t="s">
        <v>920</v>
      </c>
      <c r="C560" s="1" t="s">
        <v>666</v>
      </c>
      <c r="D560" s="1">
        <v>4665801</v>
      </c>
      <c r="E560" s="1">
        <v>7466</v>
      </c>
      <c r="F560" s="1" t="s">
        <v>25</v>
      </c>
      <c r="G560" s="1" t="s">
        <v>24</v>
      </c>
      <c r="H560" s="2">
        <v>42793</v>
      </c>
      <c r="I560" s="1" t="s">
        <v>25</v>
      </c>
      <c r="J560" s="2">
        <v>44935</v>
      </c>
      <c r="K560" s="3"/>
      <c r="L560" s="3">
        <v>550000</v>
      </c>
      <c r="M560" s="3">
        <v>550000</v>
      </c>
      <c r="N560" s="1">
        <v>1</v>
      </c>
      <c r="O560" s="1">
        <v>0</v>
      </c>
      <c r="P560" s="1">
        <v>1</v>
      </c>
      <c r="Q560" s="3">
        <v>500000</v>
      </c>
      <c r="R560" s="3"/>
      <c r="S560" s="3">
        <v>57466</v>
      </c>
      <c r="T560" s="1">
        <v>5.868493</v>
      </c>
      <c r="U560" s="3"/>
      <c r="V560" s="3"/>
      <c r="X560" s="1">
        <v>57466</v>
      </c>
      <c r="Y560" s="22">
        <v>5.868493</v>
      </c>
      <c r="Z560" s="4">
        <f>Table1[[#This Row],[totalTimeKept]]*$AD$3</f>
        <v>88027.395000000004</v>
      </c>
      <c r="AA560" s="4">
        <f>Y560-Z560</f>
        <v>-88021.526507000002</v>
      </c>
    </row>
    <row r="561" spans="1:27" x14ac:dyDescent="0.3">
      <c r="A561" s="1">
        <v>10304380</v>
      </c>
      <c r="B561" s="1" t="s">
        <v>921</v>
      </c>
      <c r="C561" s="1" t="s">
        <v>821</v>
      </c>
      <c r="D561" s="1">
        <v>5353547</v>
      </c>
      <c r="E561" s="1">
        <v>15780</v>
      </c>
      <c r="F561" s="1" t="s">
        <v>25</v>
      </c>
      <c r="G561" s="1" t="s">
        <v>25</v>
      </c>
      <c r="H561" s="2">
        <v>42908</v>
      </c>
      <c r="I561" s="1" t="s">
        <v>25</v>
      </c>
      <c r="J561" s="2" t="s">
        <v>25</v>
      </c>
      <c r="K561" s="3"/>
      <c r="L561" s="3"/>
      <c r="M561" s="3">
        <v>0</v>
      </c>
      <c r="N561" s="1">
        <v>1</v>
      </c>
      <c r="P561" s="1">
        <v>0</v>
      </c>
      <c r="Q561" s="3"/>
      <c r="R561" s="3"/>
      <c r="S561" s="3">
        <v>15780</v>
      </c>
      <c r="T561" s="1">
        <v>7.6630140000000004</v>
      </c>
      <c r="U561" s="3"/>
      <c r="V561" s="3"/>
      <c r="X561" s="1">
        <v>15780</v>
      </c>
      <c r="Y561" s="22">
        <v>7.6630140000000004</v>
      </c>
      <c r="Z561" s="4">
        <f>Table1[[#This Row],[totalTimeKept]]*$AD$3</f>
        <v>114945.21</v>
      </c>
      <c r="AA561" s="4">
        <f>Y561-Z561</f>
        <v>-114937.546986</v>
      </c>
    </row>
    <row r="562" spans="1:27" x14ac:dyDescent="0.3">
      <c r="A562" s="1">
        <v>10309152</v>
      </c>
      <c r="B562" s="1" t="s">
        <v>922</v>
      </c>
      <c r="C562" s="1" t="s">
        <v>923</v>
      </c>
      <c r="D562" s="1">
        <v>6804016</v>
      </c>
      <c r="E562" s="1">
        <v>8750</v>
      </c>
      <c r="F562" s="1" t="s">
        <v>46</v>
      </c>
      <c r="G562" s="1" t="s">
        <v>846</v>
      </c>
      <c r="H562" s="2">
        <v>42860</v>
      </c>
      <c r="I562" s="2">
        <v>43354</v>
      </c>
      <c r="J562" s="2">
        <v>44236</v>
      </c>
      <c r="K562" s="3">
        <v>700000</v>
      </c>
      <c r="L562" s="3">
        <v>67000</v>
      </c>
      <c r="M562" s="3">
        <v>-633000</v>
      </c>
      <c r="N562" s="1">
        <v>0</v>
      </c>
      <c r="O562" s="1">
        <v>1</v>
      </c>
      <c r="P562" s="1">
        <v>1</v>
      </c>
      <c r="Q562" s="3"/>
      <c r="R562" s="3"/>
      <c r="S562" s="3">
        <v>-624250</v>
      </c>
      <c r="T562" s="1">
        <v>2.4164379999999999</v>
      </c>
      <c r="U562" s="3"/>
      <c r="V562" s="3"/>
      <c r="X562" s="1">
        <v>-624250</v>
      </c>
      <c r="Y562" s="22">
        <v>2.4164379999999999</v>
      </c>
      <c r="Z562" s="4">
        <f>Table1[[#This Row],[totalTimeKept]]*$AD$3</f>
        <v>36246.57</v>
      </c>
      <c r="AA562" s="4">
        <f>Y562-Z562</f>
        <v>-36244.153562</v>
      </c>
    </row>
    <row r="563" spans="1:27" x14ac:dyDescent="0.3">
      <c r="A563" s="1">
        <v>10395312</v>
      </c>
      <c r="B563" s="1" t="s">
        <v>924</v>
      </c>
      <c r="C563" s="1" t="s">
        <v>703</v>
      </c>
      <c r="D563" s="1">
        <v>8567762</v>
      </c>
      <c r="E563" s="1">
        <v>0</v>
      </c>
      <c r="F563" s="1" t="s">
        <v>25</v>
      </c>
      <c r="G563" s="1" t="s">
        <v>349</v>
      </c>
      <c r="H563" s="2">
        <v>43113</v>
      </c>
      <c r="I563" s="1" t="s">
        <v>25</v>
      </c>
      <c r="J563" s="2">
        <v>43411</v>
      </c>
      <c r="K563" s="3"/>
      <c r="L563" s="3">
        <v>100000</v>
      </c>
      <c r="M563" s="3">
        <v>100000</v>
      </c>
      <c r="N563" s="1">
        <v>1</v>
      </c>
      <c r="O563" s="1">
        <v>0</v>
      </c>
      <c r="P563" s="1">
        <v>1</v>
      </c>
      <c r="Q563" s="3"/>
      <c r="R563" s="3"/>
      <c r="S563" s="3">
        <v>100000</v>
      </c>
      <c r="T563" s="1">
        <v>0.81643840000000001</v>
      </c>
      <c r="U563" s="3"/>
      <c r="V563" s="3"/>
      <c r="X563" s="1">
        <v>100000</v>
      </c>
      <c r="Y563" s="22">
        <v>0.81643840000000001</v>
      </c>
      <c r="Z563" s="4">
        <f>Table1[[#This Row],[totalTimeKept]]*$AD$3</f>
        <v>12246.576000000001</v>
      </c>
      <c r="AA563" s="4">
        <f>Y563-Z563</f>
        <v>-12245.759561600002</v>
      </c>
    </row>
    <row r="564" spans="1:27" x14ac:dyDescent="0.3">
      <c r="A564" s="1">
        <v>10402909</v>
      </c>
      <c r="B564" s="1" t="s">
        <v>925</v>
      </c>
      <c r="C564" s="1" t="s">
        <v>506</v>
      </c>
      <c r="D564" s="1">
        <v>9319611</v>
      </c>
      <c r="E564" s="1">
        <v>0</v>
      </c>
      <c r="F564" s="1" t="s">
        <v>25</v>
      </c>
      <c r="G564" s="1" t="s">
        <v>46</v>
      </c>
      <c r="H564" s="2">
        <v>43131</v>
      </c>
      <c r="I564" s="1" t="s">
        <v>25</v>
      </c>
      <c r="J564" s="2">
        <v>43726</v>
      </c>
      <c r="K564" s="3"/>
      <c r="L564" s="3">
        <v>35000</v>
      </c>
      <c r="M564" s="3">
        <v>35000</v>
      </c>
      <c r="N564" s="1">
        <v>1</v>
      </c>
      <c r="O564" s="1">
        <v>0</v>
      </c>
      <c r="P564" s="1">
        <v>1</v>
      </c>
      <c r="Q564" s="3"/>
      <c r="R564" s="3"/>
      <c r="S564" s="3">
        <v>35000</v>
      </c>
      <c r="T564" s="1">
        <v>1.6301369999999999</v>
      </c>
      <c r="U564" s="3"/>
      <c r="V564" s="3"/>
      <c r="X564" s="1">
        <v>35000</v>
      </c>
      <c r="Y564" s="22">
        <v>1.6301369999999999</v>
      </c>
      <c r="Z564" s="4">
        <f>Table1[[#This Row],[totalTimeKept]]*$AD$3</f>
        <v>24452.055</v>
      </c>
      <c r="AA564" s="4">
        <f>Y564-Z564</f>
        <v>-24450.424863</v>
      </c>
    </row>
    <row r="565" spans="1:27" x14ac:dyDescent="0.3">
      <c r="A565" s="1">
        <v>10403480</v>
      </c>
      <c r="B565" s="1" t="s">
        <v>926</v>
      </c>
      <c r="C565" s="1" t="s">
        <v>927</v>
      </c>
      <c r="D565" s="1">
        <v>9521290</v>
      </c>
      <c r="E565" s="1">
        <v>177350</v>
      </c>
      <c r="F565" s="1" t="s">
        <v>46</v>
      </c>
      <c r="G565" s="1" t="s">
        <v>25</v>
      </c>
      <c r="H565" s="2">
        <v>43131</v>
      </c>
      <c r="I565" s="2">
        <v>43682</v>
      </c>
      <c r="J565" s="1" t="s">
        <v>25</v>
      </c>
      <c r="K565" s="3">
        <v>360000</v>
      </c>
      <c r="L565" s="3"/>
      <c r="M565" s="3">
        <v>-360000</v>
      </c>
      <c r="N565" s="1">
        <v>0</v>
      </c>
      <c r="O565" s="1">
        <v>1</v>
      </c>
      <c r="P565" s="1">
        <v>0</v>
      </c>
      <c r="Q565" s="3"/>
      <c r="R565" s="3"/>
      <c r="S565" s="3">
        <v>-182650</v>
      </c>
      <c r="T565" s="1">
        <v>5.5424660000000001</v>
      </c>
      <c r="U565" s="3"/>
      <c r="V565" s="3"/>
      <c r="X565" s="1">
        <v>-182650</v>
      </c>
      <c r="Y565" s="22">
        <v>5.5424660000000001</v>
      </c>
      <c r="Z565" s="4">
        <f>Table1[[#This Row],[totalTimeKept]]*$AD$3</f>
        <v>83136.990000000005</v>
      </c>
      <c r="AA565" s="4">
        <f>Y565-Z565</f>
        <v>-83131.447534000006</v>
      </c>
    </row>
    <row r="566" spans="1:27" x14ac:dyDescent="0.3">
      <c r="A566" s="1">
        <v>10408396</v>
      </c>
      <c r="B566" s="1" t="s">
        <v>928</v>
      </c>
      <c r="C566" s="1" t="s">
        <v>929</v>
      </c>
      <c r="D566" s="1">
        <v>8883151</v>
      </c>
      <c r="E566" s="1">
        <v>530900</v>
      </c>
      <c r="F566" s="1" t="s">
        <v>46</v>
      </c>
      <c r="G566" s="1" t="s">
        <v>25</v>
      </c>
      <c r="H566" s="2">
        <v>43134</v>
      </c>
      <c r="I566" s="2">
        <v>43720</v>
      </c>
      <c r="J566" s="1" t="s">
        <v>25</v>
      </c>
      <c r="K566" s="3">
        <v>1000000</v>
      </c>
      <c r="L566" s="3"/>
      <c r="M566" s="3">
        <v>-1000000</v>
      </c>
      <c r="N566" s="1">
        <v>0</v>
      </c>
      <c r="O566" s="1">
        <v>1</v>
      </c>
      <c r="P566" s="1">
        <v>0</v>
      </c>
      <c r="Q566" s="3"/>
      <c r="R566" s="3"/>
      <c r="S566" s="3">
        <v>-469100</v>
      </c>
      <c r="T566" s="1">
        <v>5.4383559999999997</v>
      </c>
      <c r="U566" s="3"/>
      <c r="V566" s="3"/>
      <c r="X566" s="1">
        <v>-469100</v>
      </c>
      <c r="Y566" s="22">
        <v>5.4383559999999997</v>
      </c>
      <c r="Z566" s="4">
        <f>Table1[[#This Row],[totalTimeKept]]*$AD$3</f>
        <v>81575.34</v>
      </c>
      <c r="AA566" s="4">
        <f>Y566-Z566</f>
        <v>-81569.901643999998</v>
      </c>
    </row>
    <row r="567" spans="1:27" x14ac:dyDescent="0.3">
      <c r="A567" s="1">
        <v>10409305</v>
      </c>
      <c r="B567" s="1" t="s">
        <v>930</v>
      </c>
      <c r="C567" s="1" t="s">
        <v>380</v>
      </c>
      <c r="D567" s="1">
        <v>8871917</v>
      </c>
      <c r="E567" s="1">
        <v>0</v>
      </c>
      <c r="F567" s="1" t="s">
        <v>25</v>
      </c>
      <c r="G567" s="1" t="s">
        <v>292</v>
      </c>
      <c r="H567" s="2">
        <v>43138</v>
      </c>
      <c r="I567" s="1" t="s">
        <v>25</v>
      </c>
      <c r="J567" s="2">
        <v>44027</v>
      </c>
      <c r="K567" s="3"/>
      <c r="L567" s="3">
        <v>20000</v>
      </c>
      <c r="M567" s="3">
        <v>20000</v>
      </c>
      <c r="N567" s="1">
        <v>1</v>
      </c>
      <c r="O567" s="1">
        <v>0</v>
      </c>
      <c r="P567" s="1">
        <v>1</v>
      </c>
      <c r="Q567" s="3"/>
      <c r="R567" s="3"/>
      <c r="S567" s="3">
        <v>20000</v>
      </c>
      <c r="T567" s="1">
        <v>2.435616</v>
      </c>
      <c r="U567" s="3"/>
      <c r="V567" s="3"/>
      <c r="X567" s="1">
        <v>20000</v>
      </c>
      <c r="Y567" s="22">
        <v>2.435616</v>
      </c>
      <c r="Z567" s="4">
        <f>Table1[[#This Row],[totalTimeKept]]*$AD$3</f>
        <v>36534.239999999998</v>
      </c>
      <c r="AA567" s="4">
        <f>Y567-Z567</f>
        <v>-36531.804383999995</v>
      </c>
    </row>
    <row r="568" spans="1:27" x14ac:dyDescent="0.3">
      <c r="A568" s="1">
        <v>10409307</v>
      </c>
      <c r="B568" s="1" t="s">
        <v>931</v>
      </c>
      <c r="C568" s="1" t="s">
        <v>648</v>
      </c>
      <c r="D568" s="1">
        <v>9684122</v>
      </c>
      <c r="E568" s="1">
        <v>0</v>
      </c>
      <c r="F568" s="1" t="s">
        <v>25</v>
      </c>
      <c r="G568" s="1" t="s">
        <v>349</v>
      </c>
      <c r="H568" s="2">
        <v>43140</v>
      </c>
      <c r="I568" s="1" t="s">
        <v>25</v>
      </c>
      <c r="J568" s="2">
        <v>43410</v>
      </c>
      <c r="K568" s="3"/>
      <c r="L568" s="3">
        <v>80000</v>
      </c>
      <c r="M568" s="3">
        <v>80000</v>
      </c>
      <c r="N568" s="1">
        <v>1</v>
      </c>
      <c r="O568" s="1">
        <v>0</v>
      </c>
      <c r="P568" s="1">
        <v>1</v>
      </c>
      <c r="Q568" s="3"/>
      <c r="R568" s="3"/>
      <c r="S568" s="3">
        <v>80000</v>
      </c>
      <c r="T568" s="1">
        <v>0.73972599999999999</v>
      </c>
      <c r="U568" s="3"/>
      <c r="V568" s="3"/>
      <c r="X568" s="1">
        <v>80000</v>
      </c>
      <c r="Y568" s="22">
        <v>0.73972599999999999</v>
      </c>
      <c r="Z568" s="4">
        <f>Table1[[#This Row],[totalTimeKept]]*$AD$3</f>
        <v>11095.89</v>
      </c>
      <c r="AA568" s="4">
        <f>Y568-Z568</f>
        <v>-11095.150274</v>
      </c>
    </row>
    <row r="569" spans="1:27" x14ac:dyDescent="0.3">
      <c r="A569" s="1">
        <v>10409770</v>
      </c>
      <c r="B569" s="1" t="s">
        <v>932</v>
      </c>
      <c r="C569" s="1" t="s">
        <v>933</v>
      </c>
      <c r="D569" s="1">
        <v>9498458</v>
      </c>
      <c r="E569" s="1">
        <v>0</v>
      </c>
      <c r="F569" s="1" t="s">
        <v>139</v>
      </c>
      <c r="G569" s="1" t="s">
        <v>25</v>
      </c>
      <c r="H569" s="2">
        <v>43143</v>
      </c>
      <c r="I569" s="2">
        <v>45299</v>
      </c>
      <c r="J569" s="2" t="s">
        <v>25</v>
      </c>
      <c r="K569" s="3">
        <v>110000</v>
      </c>
      <c r="L569" s="3"/>
      <c r="M569" s="3">
        <v>-110000</v>
      </c>
      <c r="N569" s="1">
        <v>0</v>
      </c>
      <c r="O569" s="1">
        <v>1</v>
      </c>
      <c r="P569" s="1">
        <v>0</v>
      </c>
      <c r="Q569" s="3">
        <v>0</v>
      </c>
      <c r="R569" s="3"/>
      <c r="S569" s="3">
        <v>-110000</v>
      </c>
      <c r="T569" s="1">
        <v>1.1123289999999999</v>
      </c>
      <c r="U569" s="3"/>
      <c r="V569" s="3"/>
      <c r="X569" s="1">
        <v>-110000</v>
      </c>
      <c r="Y569" s="22">
        <v>1.1123289999999999</v>
      </c>
      <c r="Z569" s="4">
        <f>Table1[[#This Row],[totalTimeKept]]*$AD$3</f>
        <v>16684.934999999998</v>
      </c>
      <c r="AA569" s="4">
        <f>Y569-Z569</f>
        <v>-16683.822670999998</v>
      </c>
    </row>
    <row r="570" spans="1:27" x14ac:dyDescent="0.3">
      <c r="A570" s="1">
        <v>10410541</v>
      </c>
      <c r="B570" s="1" t="s">
        <v>934</v>
      </c>
      <c r="C570" s="1" t="s">
        <v>47</v>
      </c>
      <c r="D570" s="1">
        <v>4494884</v>
      </c>
      <c r="E570" s="1">
        <v>0</v>
      </c>
      <c r="F570" s="1" t="s">
        <v>25</v>
      </c>
      <c r="G570" s="1" t="s">
        <v>349</v>
      </c>
      <c r="H570" s="2">
        <v>43139</v>
      </c>
      <c r="I570" s="1" t="s">
        <v>25</v>
      </c>
      <c r="J570" s="2">
        <v>43415</v>
      </c>
      <c r="K570" s="3"/>
      <c r="L570" s="3">
        <v>72000</v>
      </c>
      <c r="M570" s="3">
        <v>72000</v>
      </c>
      <c r="N570" s="1">
        <v>1</v>
      </c>
      <c r="O570" s="1">
        <v>0</v>
      </c>
      <c r="P570" s="1">
        <v>1</v>
      </c>
      <c r="Q570" s="3"/>
      <c r="R570" s="3"/>
      <c r="S570" s="3">
        <v>72000</v>
      </c>
      <c r="T570" s="1">
        <v>0.75616439999999996</v>
      </c>
      <c r="U570" s="3"/>
      <c r="V570" s="3"/>
      <c r="X570" s="1">
        <v>72000</v>
      </c>
      <c r="Y570" s="22">
        <v>0.75616439999999996</v>
      </c>
      <c r="Z570" s="4">
        <f>Table1[[#This Row],[totalTimeKept]]*$AD$3</f>
        <v>11342.465999999999</v>
      </c>
      <c r="AA570" s="4">
        <f>Y570-Z570</f>
        <v>-11341.709835599999</v>
      </c>
    </row>
    <row r="571" spans="1:27" x14ac:dyDescent="0.3">
      <c r="A571" s="1">
        <v>10410543</v>
      </c>
      <c r="B571" s="1" t="s">
        <v>935</v>
      </c>
      <c r="C571" s="1" t="s">
        <v>418</v>
      </c>
      <c r="D571" s="1">
        <v>9088288</v>
      </c>
      <c r="E571" s="1">
        <v>0</v>
      </c>
      <c r="F571" s="1" t="s">
        <v>25</v>
      </c>
      <c r="G571" s="1" t="s">
        <v>46</v>
      </c>
      <c r="H571" s="2">
        <v>43135</v>
      </c>
      <c r="I571" s="1" t="s">
        <v>25</v>
      </c>
      <c r="J571" s="2">
        <v>43720</v>
      </c>
      <c r="K571" s="3"/>
      <c r="L571" s="3">
        <v>300000</v>
      </c>
      <c r="M571" s="3">
        <v>300000</v>
      </c>
      <c r="N571" s="1">
        <v>1</v>
      </c>
      <c r="O571" s="1">
        <v>0</v>
      </c>
      <c r="P571" s="1">
        <v>1</v>
      </c>
      <c r="Q571" s="3"/>
      <c r="R571" s="3"/>
      <c r="S571" s="3">
        <v>300000</v>
      </c>
      <c r="T571" s="1">
        <v>1.6027400000000001</v>
      </c>
      <c r="U571" s="3"/>
      <c r="V571" s="3"/>
      <c r="X571" s="1">
        <v>300000</v>
      </c>
      <c r="Y571" s="22">
        <v>1.6027400000000001</v>
      </c>
      <c r="Z571" s="4">
        <f>Table1[[#This Row],[totalTimeKept]]*$AD$3</f>
        <v>24041.100000000002</v>
      </c>
      <c r="AA571" s="4">
        <f>Y571-Z571</f>
        <v>-24039.497260000004</v>
      </c>
    </row>
    <row r="572" spans="1:27" x14ac:dyDescent="0.3">
      <c r="A572" s="1">
        <v>10411523</v>
      </c>
      <c r="B572" s="1" t="s">
        <v>936</v>
      </c>
      <c r="C572" s="1" t="s">
        <v>462</v>
      </c>
      <c r="D572" s="1">
        <v>4307108</v>
      </c>
      <c r="E572" s="1">
        <v>157500</v>
      </c>
      <c r="F572" s="1" t="s">
        <v>25</v>
      </c>
      <c r="G572" s="1" t="s">
        <v>24</v>
      </c>
      <c r="H572" s="2">
        <v>43150</v>
      </c>
      <c r="I572" s="1" t="s">
        <v>25</v>
      </c>
      <c r="J572" s="2">
        <v>44871</v>
      </c>
      <c r="K572" s="3"/>
      <c r="L572" s="3">
        <v>460000</v>
      </c>
      <c r="M572" s="3">
        <v>460000</v>
      </c>
      <c r="N572" s="1">
        <v>1</v>
      </c>
      <c r="O572" s="1">
        <v>0</v>
      </c>
      <c r="P572" s="1">
        <v>1</v>
      </c>
      <c r="Q572" s="3"/>
      <c r="R572" s="3"/>
      <c r="S572" s="3">
        <v>617500</v>
      </c>
      <c r="T572" s="1">
        <v>4.7150679999999996</v>
      </c>
      <c r="U572" s="3"/>
      <c r="V572" s="3"/>
      <c r="X572" s="1">
        <v>617500</v>
      </c>
      <c r="Y572" s="22">
        <v>4.7150679999999996</v>
      </c>
      <c r="Z572" s="4">
        <f>Table1[[#This Row],[totalTimeKept]]*$AD$3</f>
        <v>70726.01999999999</v>
      </c>
      <c r="AA572" s="4">
        <f>Y572-Z572</f>
        <v>-70721.304931999985</v>
      </c>
    </row>
    <row r="573" spans="1:27" x14ac:dyDescent="0.3">
      <c r="A573" s="1">
        <v>10411676</v>
      </c>
      <c r="B573" s="1" t="s">
        <v>937</v>
      </c>
      <c r="C573" s="1" t="s">
        <v>938</v>
      </c>
      <c r="D573" s="1">
        <v>8076646</v>
      </c>
      <c r="E573" s="1">
        <v>0</v>
      </c>
      <c r="F573" s="1" t="s">
        <v>25</v>
      </c>
      <c r="G573" s="1" t="s">
        <v>349</v>
      </c>
      <c r="H573" s="2">
        <v>43147</v>
      </c>
      <c r="I573" s="1" t="s">
        <v>25</v>
      </c>
      <c r="J573" s="2">
        <v>43410</v>
      </c>
      <c r="K573" s="3"/>
      <c r="L573" s="3">
        <v>135000</v>
      </c>
      <c r="M573" s="3">
        <v>135000</v>
      </c>
      <c r="N573" s="1">
        <v>1</v>
      </c>
      <c r="O573" s="1">
        <v>0</v>
      </c>
      <c r="P573" s="1">
        <v>1</v>
      </c>
      <c r="Q573" s="3"/>
      <c r="R573" s="3"/>
      <c r="S573" s="3">
        <v>135000</v>
      </c>
      <c r="T573" s="1">
        <v>0.72054799999999997</v>
      </c>
      <c r="U573" s="3"/>
      <c r="V573" s="3"/>
      <c r="X573" s="1">
        <v>135000</v>
      </c>
      <c r="Y573" s="22">
        <v>0.72054799999999997</v>
      </c>
      <c r="Z573" s="4">
        <f>Table1[[#This Row],[totalTimeKept]]*$AD$3</f>
        <v>10808.22</v>
      </c>
      <c r="AA573" s="4">
        <f>Y573-Z573</f>
        <v>-10807.499452</v>
      </c>
    </row>
    <row r="574" spans="1:27" x14ac:dyDescent="0.3">
      <c r="A574" s="1">
        <v>10411688</v>
      </c>
      <c r="B574" s="1" t="s">
        <v>939</v>
      </c>
      <c r="C574" s="1" t="s">
        <v>113</v>
      </c>
      <c r="D574" s="1">
        <v>6773709</v>
      </c>
      <c r="E574" s="1">
        <v>0</v>
      </c>
      <c r="F574" s="1" t="s">
        <v>25</v>
      </c>
      <c r="G574" s="1" t="s">
        <v>349</v>
      </c>
      <c r="H574" s="2">
        <v>43149</v>
      </c>
      <c r="I574" s="1" t="s">
        <v>25</v>
      </c>
      <c r="J574" s="2">
        <v>43388</v>
      </c>
      <c r="K574" s="3"/>
      <c r="L574" s="3">
        <v>58000</v>
      </c>
      <c r="M574" s="3">
        <v>58000</v>
      </c>
      <c r="N574" s="1">
        <v>1</v>
      </c>
      <c r="O574" s="1">
        <v>0</v>
      </c>
      <c r="P574" s="1">
        <v>1</v>
      </c>
      <c r="Q574" s="3"/>
      <c r="R574" s="3"/>
      <c r="S574" s="3">
        <v>58000</v>
      </c>
      <c r="T574" s="1">
        <v>0.65479449999999995</v>
      </c>
      <c r="U574" s="3"/>
      <c r="V574" s="3"/>
      <c r="X574" s="1">
        <v>58000</v>
      </c>
      <c r="Y574" s="22">
        <v>0.65479449999999995</v>
      </c>
      <c r="Z574" s="4">
        <f>Table1[[#This Row],[totalTimeKept]]*$AD$3</f>
        <v>9821.9174999999996</v>
      </c>
      <c r="AA574" s="4">
        <f>Y574-Z574</f>
        <v>-9821.2627054999994</v>
      </c>
    </row>
    <row r="575" spans="1:27" x14ac:dyDescent="0.3">
      <c r="A575" s="1">
        <v>10413788</v>
      </c>
      <c r="B575" s="1" t="s">
        <v>940</v>
      </c>
      <c r="C575" s="1" t="s">
        <v>386</v>
      </c>
      <c r="D575" s="1">
        <v>8879141</v>
      </c>
      <c r="E575" s="1">
        <v>0</v>
      </c>
      <c r="F575" s="1" t="s">
        <v>25</v>
      </c>
      <c r="G575" s="1" t="s">
        <v>46</v>
      </c>
      <c r="H575" s="2">
        <v>43139</v>
      </c>
      <c r="I575" s="1" t="s">
        <v>25</v>
      </c>
      <c r="J575" s="2">
        <v>43655</v>
      </c>
      <c r="K575" s="3"/>
      <c r="L575" s="3">
        <v>135000</v>
      </c>
      <c r="M575" s="3">
        <v>135000</v>
      </c>
      <c r="N575" s="1">
        <v>1</v>
      </c>
      <c r="O575" s="1">
        <v>0</v>
      </c>
      <c r="P575" s="1">
        <v>1</v>
      </c>
      <c r="Q575" s="3"/>
      <c r="R575" s="3"/>
      <c r="S575" s="3">
        <v>135000</v>
      </c>
      <c r="T575" s="1">
        <v>1.413699</v>
      </c>
      <c r="U575" s="3"/>
      <c r="V575" s="3"/>
      <c r="X575" s="1">
        <v>135000</v>
      </c>
      <c r="Y575" s="22">
        <v>1.413699</v>
      </c>
      <c r="Z575" s="4">
        <f>Table1[[#This Row],[totalTimeKept]]*$AD$3</f>
        <v>21205.485000000001</v>
      </c>
      <c r="AA575" s="4">
        <f>Y575-Z575</f>
        <v>-21204.071301</v>
      </c>
    </row>
    <row r="576" spans="1:27" x14ac:dyDescent="0.3">
      <c r="A576" s="1">
        <v>10417960</v>
      </c>
      <c r="B576" s="1" t="s">
        <v>941</v>
      </c>
      <c r="C576" s="1" t="s">
        <v>942</v>
      </c>
      <c r="D576" s="1">
        <v>8597864</v>
      </c>
      <c r="E576" s="1">
        <v>0</v>
      </c>
      <c r="F576" s="1" t="s">
        <v>24</v>
      </c>
      <c r="G576" s="1" t="s">
        <v>25</v>
      </c>
      <c r="H576" s="2">
        <v>43147</v>
      </c>
      <c r="I576" s="2">
        <v>45238</v>
      </c>
      <c r="J576" s="2" t="s">
        <v>25</v>
      </c>
      <c r="K576" s="3">
        <v>300000</v>
      </c>
      <c r="L576" s="3"/>
      <c r="M576" s="3">
        <v>-300000</v>
      </c>
      <c r="N576" s="1">
        <v>0</v>
      </c>
      <c r="O576" s="1">
        <v>1</v>
      </c>
      <c r="P576" s="1">
        <v>0</v>
      </c>
      <c r="Q576" s="3">
        <v>200000</v>
      </c>
      <c r="R576" s="3"/>
      <c r="S576" s="3">
        <v>-500000</v>
      </c>
      <c r="T576" s="1">
        <v>1.279452</v>
      </c>
      <c r="U576" s="3"/>
      <c r="V576" s="3"/>
      <c r="X576" s="1">
        <v>-500000</v>
      </c>
      <c r="Y576" s="22">
        <v>1.279452</v>
      </c>
      <c r="Z576" s="4">
        <f>Table1[[#This Row],[totalTimeKept]]*$AD$3</f>
        <v>19191.78</v>
      </c>
      <c r="AA576" s="4">
        <f>Y576-Z576</f>
        <v>-19190.500548</v>
      </c>
    </row>
    <row r="577" spans="1:27" x14ac:dyDescent="0.3">
      <c r="A577" s="1">
        <v>10424051</v>
      </c>
      <c r="B577" s="1" t="s">
        <v>943</v>
      </c>
      <c r="C577" s="1" t="s">
        <v>659</v>
      </c>
      <c r="D577" s="1">
        <v>9691922</v>
      </c>
      <c r="E577" s="1">
        <v>0</v>
      </c>
      <c r="F577" s="1" t="s">
        <v>25</v>
      </c>
      <c r="G577" s="1" t="s">
        <v>46</v>
      </c>
      <c r="H577" s="2">
        <v>43169</v>
      </c>
      <c r="I577" s="2" t="s">
        <v>25</v>
      </c>
      <c r="J577" s="2">
        <v>43759</v>
      </c>
      <c r="K577" s="3"/>
      <c r="L577" s="3">
        <v>22000</v>
      </c>
      <c r="M577" s="3">
        <v>22000</v>
      </c>
      <c r="N577" s="1">
        <v>1</v>
      </c>
      <c r="O577" s="1">
        <v>0</v>
      </c>
      <c r="P577" s="1">
        <v>1</v>
      </c>
      <c r="Q577" s="3"/>
      <c r="R577" s="3"/>
      <c r="S577" s="3">
        <v>22000</v>
      </c>
      <c r="T577" s="1">
        <v>1.616438</v>
      </c>
      <c r="U577" s="3"/>
      <c r="V577" s="3"/>
      <c r="X577" s="1">
        <v>22000</v>
      </c>
      <c r="Y577" s="22">
        <v>1.616438</v>
      </c>
      <c r="Z577" s="4">
        <f>Table1[[#This Row],[totalTimeKept]]*$AD$3</f>
        <v>24246.57</v>
      </c>
      <c r="AA577" s="4">
        <f>Y577-Z577</f>
        <v>-24244.953561999999</v>
      </c>
    </row>
    <row r="578" spans="1:27" x14ac:dyDescent="0.3">
      <c r="A578" s="1">
        <v>10424079</v>
      </c>
      <c r="B578" s="1" t="s">
        <v>944</v>
      </c>
      <c r="C578" s="1" t="s">
        <v>270</v>
      </c>
      <c r="D578" s="1">
        <v>8337012</v>
      </c>
      <c r="E578" s="1">
        <v>0</v>
      </c>
      <c r="F578" s="1" t="s">
        <v>25</v>
      </c>
      <c r="G578" s="1" t="s">
        <v>349</v>
      </c>
      <c r="H578" s="2">
        <v>43170</v>
      </c>
      <c r="I578" s="1" t="s">
        <v>25</v>
      </c>
      <c r="J578" s="2">
        <v>43414</v>
      </c>
      <c r="K578" s="3"/>
      <c r="L578" s="3">
        <v>62000</v>
      </c>
      <c r="M578" s="3">
        <v>62000</v>
      </c>
      <c r="N578" s="1">
        <v>1</v>
      </c>
      <c r="O578" s="1">
        <v>0</v>
      </c>
      <c r="P578" s="1">
        <v>1</v>
      </c>
      <c r="Q578" s="3"/>
      <c r="R578" s="3"/>
      <c r="S578" s="3">
        <v>62000</v>
      </c>
      <c r="T578" s="1">
        <v>0.66849320000000001</v>
      </c>
      <c r="U578" s="3"/>
      <c r="V578" s="3"/>
      <c r="X578" s="1">
        <v>62000</v>
      </c>
      <c r="Y578" s="22">
        <v>0.66849320000000001</v>
      </c>
      <c r="Z578" s="4">
        <f>Table1[[#This Row],[totalTimeKept]]*$AD$3</f>
        <v>10027.398000000001</v>
      </c>
      <c r="AA578" s="4">
        <f>Y578-Z578</f>
        <v>-10026.7295068</v>
      </c>
    </row>
    <row r="579" spans="1:27" x14ac:dyDescent="0.3">
      <c r="A579" s="1">
        <v>10426749</v>
      </c>
      <c r="B579" s="1" t="s">
        <v>945</v>
      </c>
      <c r="C579" s="1" t="s">
        <v>946</v>
      </c>
      <c r="D579" s="1">
        <v>9323291</v>
      </c>
      <c r="E579" s="1">
        <v>139600</v>
      </c>
      <c r="F579" s="1" t="s">
        <v>46</v>
      </c>
      <c r="G579" s="1" t="s">
        <v>25</v>
      </c>
      <c r="H579" s="2">
        <v>43160</v>
      </c>
      <c r="I579" s="2">
        <v>43718</v>
      </c>
      <c r="J579" s="2" t="s">
        <v>25</v>
      </c>
      <c r="K579" s="3">
        <v>600000</v>
      </c>
      <c r="L579" s="3"/>
      <c r="M579" s="3">
        <v>-600000</v>
      </c>
      <c r="N579" s="1">
        <v>0</v>
      </c>
      <c r="O579" s="1">
        <v>1</v>
      </c>
      <c r="P579" s="1">
        <v>0</v>
      </c>
      <c r="Q579" s="3"/>
      <c r="R579" s="3"/>
      <c r="S579" s="3">
        <v>-460400</v>
      </c>
      <c r="T579" s="1">
        <v>5.4438360000000001</v>
      </c>
      <c r="U579" s="3"/>
      <c r="V579" s="3"/>
      <c r="X579" s="1">
        <v>-460400</v>
      </c>
      <c r="Y579" s="22">
        <v>5.4438360000000001</v>
      </c>
      <c r="Z579" s="4">
        <f>Table1[[#This Row],[totalTimeKept]]*$AD$3</f>
        <v>81657.540000000008</v>
      </c>
      <c r="AA579" s="4">
        <f>Y579-Z579</f>
        <v>-81652.096164000002</v>
      </c>
    </row>
    <row r="580" spans="1:27" x14ac:dyDescent="0.3">
      <c r="A580" s="1">
        <v>10426952</v>
      </c>
      <c r="B580" s="1" t="s">
        <v>947</v>
      </c>
      <c r="C580" s="1" t="s">
        <v>948</v>
      </c>
      <c r="D580" s="1">
        <v>8074226</v>
      </c>
      <c r="E580" s="1">
        <v>176825</v>
      </c>
      <c r="F580" s="1" t="s">
        <v>46</v>
      </c>
      <c r="G580" s="1" t="s">
        <v>25</v>
      </c>
      <c r="H580" s="2">
        <v>43147</v>
      </c>
      <c r="I580" s="2">
        <v>43718</v>
      </c>
      <c r="J580" s="2" t="s">
        <v>25</v>
      </c>
      <c r="K580" s="3">
        <v>400000</v>
      </c>
      <c r="L580" s="3"/>
      <c r="M580" s="3">
        <v>-400000</v>
      </c>
      <c r="N580" s="1">
        <v>0</v>
      </c>
      <c r="O580" s="1">
        <v>1</v>
      </c>
      <c r="P580" s="1">
        <v>0</v>
      </c>
      <c r="Q580" s="3"/>
      <c r="R580" s="3"/>
      <c r="S580" s="3">
        <v>-223175</v>
      </c>
      <c r="T580" s="1">
        <v>5.4438360000000001</v>
      </c>
      <c r="U580" s="3"/>
      <c r="V580" s="3"/>
      <c r="X580" s="1">
        <v>-223175</v>
      </c>
      <c r="Y580" s="22">
        <v>5.4438360000000001</v>
      </c>
      <c r="Z580" s="4">
        <f>Table1[[#This Row],[totalTimeKept]]*$AD$3</f>
        <v>81657.540000000008</v>
      </c>
      <c r="AA580" s="4">
        <f>Y580-Z580</f>
        <v>-81652.096164000002</v>
      </c>
    </row>
    <row r="581" spans="1:27" x14ac:dyDescent="0.3">
      <c r="A581" s="1">
        <v>10427125</v>
      </c>
      <c r="B581" s="1" t="s">
        <v>949</v>
      </c>
      <c r="C581" s="1" t="s">
        <v>97</v>
      </c>
      <c r="D581" s="1">
        <v>6445269</v>
      </c>
      <c r="E581" s="1">
        <v>0</v>
      </c>
      <c r="F581" s="1" t="s">
        <v>25</v>
      </c>
      <c r="G581" s="1" t="s">
        <v>349</v>
      </c>
      <c r="H581" s="2">
        <v>43155</v>
      </c>
      <c r="I581" s="1" t="s">
        <v>25</v>
      </c>
      <c r="J581" s="2">
        <v>43412</v>
      </c>
      <c r="K581" s="3"/>
      <c r="L581" s="3">
        <v>70000</v>
      </c>
      <c r="M581" s="3">
        <v>70000</v>
      </c>
      <c r="N581" s="1">
        <v>1</v>
      </c>
      <c r="O581" s="1">
        <v>0</v>
      </c>
      <c r="P581" s="1">
        <v>1</v>
      </c>
      <c r="Q581" s="3"/>
      <c r="R581" s="3"/>
      <c r="S581" s="3">
        <v>70000</v>
      </c>
      <c r="T581" s="1">
        <v>0.7041096</v>
      </c>
      <c r="U581" s="3"/>
      <c r="V581" s="3"/>
      <c r="X581" s="1">
        <v>70000</v>
      </c>
      <c r="Y581" s="22">
        <v>0.7041096</v>
      </c>
      <c r="Z581" s="4">
        <f>Table1[[#This Row],[totalTimeKept]]*$AD$3</f>
        <v>10561.644</v>
      </c>
      <c r="AA581" s="4">
        <f>Y581-Z581</f>
        <v>-10560.939890400001</v>
      </c>
    </row>
    <row r="582" spans="1:27" x14ac:dyDescent="0.3">
      <c r="A582" s="1">
        <v>10428001</v>
      </c>
      <c r="B582" s="1" t="s">
        <v>950</v>
      </c>
      <c r="C582" s="1" t="s">
        <v>225</v>
      </c>
      <c r="D582" s="1">
        <v>7996279</v>
      </c>
      <c r="E582" s="1">
        <v>0</v>
      </c>
      <c r="F582" s="1" t="s">
        <v>25</v>
      </c>
      <c r="G582" s="1" t="s">
        <v>349</v>
      </c>
      <c r="H582" s="2">
        <v>43177</v>
      </c>
      <c r="I582" s="1" t="s">
        <v>25</v>
      </c>
      <c r="J582" s="2">
        <v>43408</v>
      </c>
      <c r="K582" s="3"/>
      <c r="L582" s="3">
        <v>100000</v>
      </c>
      <c r="M582" s="3">
        <v>100000</v>
      </c>
      <c r="N582" s="1">
        <v>1</v>
      </c>
      <c r="O582" s="1">
        <v>0</v>
      </c>
      <c r="P582" s="1">
        <v>1</v>
      </c>
      <c r="Q582" s="3"/>
      <c r="R582" s="3"/>
      <c r="S582" s="3">
        <v>100000</v>
      </c>
      <c r="T582" s="1">
        <v>0.63287669999999996</v>
      </c>
      <c r="U582" s="3"/>
      <c r="V582" s="3"/>
      <c r="X582" s="1">
        <v>100000</v>
      </c>
      <c r="Y582" s="22">
        <v>0.63287669999999996</v>
      </c>
      <c r="Z582" s="4">
        <f>Table1[[#This Row],[totalTimeKept]]*$AD$3</f>
        <v>9493.1504999999997</v>
      </c>
      <c r="AA582" s="4">
        <f>Y582-Z582</f>
        <v>-9492.5176233000002</v>
      </c>
    </row>
    <row r="583" spans="1:27" x14ac:dyDescent="0.3">
      <c r="A583" s="1">
        <v>10430723</v>
      </c>
      <c r="B583" s="1" t="s">
        <v>951</v>
      </c>
      <c r="C583" s="1" t="s">
        <v>952</v>
      </c>
      <c r="D583" s="1">
        <v>9090943</v>
      </c>
      <c r="E583" s="1">
        <v>0</v>
      </c>
      <c r="F583" s="1" t="s">
        <v>46</v>
      </c>
      <c r="G583" s="1" t="s">
        <v>25</v>
      </c>
      <c r="H583" s="2">
        <v>43177</v>
      </c>
      <c r="I583" s="2">
        <v>43720</v>
      </c>
      <c r="J583" s="2" t="s">
        <v>25</v>
      </c>
      <c r="K583" s="3">
        <v>500000</v>
      </c>
      <c r="L583" s="3"/>
      <c r="M583" s="3">
        <v>-500000</v>
      </c>
      <c r="N583" s="1">
        <v>0</v>
      </c>
      <c r="O583" s="1">
        <v>1</v>
      </c>
      <c r="P583" s="1">
        <v>0</v>
      </c>
      <c r="Q583" s="3"/>
      <c r="R583" s="3"/>
      <c r="S583" s="3">
        <v>-500000</v>
      </c>
      <c r="T583" s="1">
        <v>5.4383559999999997</v>
      </c>
      <c r="U583" s="3"/>
      <c r="V583" s="3"/>
      <c r="X583" s="1">
        <v>-500000</v>
      </c>
      <c r="Y583" s="22">
        <v>5.4383559999999997</v>
      </c>
      <c r="Z583" s="4">
        <f>Table1[[#This Row],[totalTimeKept]]*$AD$3</f>
        <v>81575.34</v>
      </c>
      <c r="AA583" s="4">
        <f>Y583-Z583</f>
        <v>-81569.901643999998</v>
      </c>
    </row>
    <row r="584" spans="1:27" x14ac:dyDescent="0.3">
      <c r="A584" s="1">
        <v>10430740</v>
      </c>
      <c r="B584" s="1" t="s">
        <v>953</v>
      </c>
      <c r="C584" s="1" t="s">
        <v>400</v>
      </c>
      <c r="D584" s="1">
        <v>8926093</v>
      </c>
      <c r="E584" s="1">
        <v>0</v>
      </c>
      <c r="F584" s="1" t="s">
        <v>25</v>
      </c>
      <c r="G584" s="1" t="s">
        <v>349</v>
      </c>
      <c r="H584" s="2">
        <v>43184</v>
      </c>
      <c r="I584" s="2" t="s">
        <v>25</v>
      </c>
      <c r="J584" s="2">
        <v>43410</v>
      </c>
      <c r="K584" s="3"/>
      <c r="L584" s="3">
        <v>125000</v>
      </c>
      <c r="M584" s="3">
        <v>125000</v>
      </c>
      <c r="N584" s="1">
        <v>1</v>
      </c>
      <c r="O584" s="1">
        <v>0</v>
      </c>
      <c r="P584" s="1">
        <v>1</v>
      </c>
      <c r="Q584" s="3"/>
      <c r="R584" s="3"/>
      <c r="S584" s="3">
        <v>125000</v>
      </c>
      <c r="T584" s="1">
        <v>0.61917809999999995</v>
      </c>
      <c r="U584" s="3"/>
      <c r="V584" s="3"/>
      <c r="X584" s="1">
        <v>125000</v>
      </c>
      <c r="Y584" s="22">
        <v>0.61917809999999995</v>
      </c>
      <c r="Z584" s="4">
        <f>Table1[[#This Row],[totalTimeKept]]*$AD$3</f>
        <v>9287.6714999999986</v>
      </c>
      <c r="AA584" s="4">
        <f>Y584-Z584</f>
        <v>-9287.0523218999988</v>
      </c>
    </row>
    <row r="585" spans="1:27" x14ac:dyDescent="0.3">
      <c r="A585" s="1">
        <v>10430859</v>
      </c>
      <c r="B585" s="1" t="s">
        <v>954</v>
      </c>
      <c r="C585" s="1" t="s">
        <v>135</v>
      </c>
      <c r="D585" s="1">
        <v>7167356</v>
      </c>
      <c r="E585" s="1">
        <v>142770.20000000001</v>
      </c>
      <c r="F585" s="1" t="s">
        <v>25</v>
      </c>
      <c r="G585" s="1" t="s">
        <v>25</v>
      </c>
      <c r="H585" s="2">
        <v>43180</v>
      </c>
      <c r="I585" s="1" t="s">
        <v>25</v>
      </c>
      <c r="J585" s="2" t="s">
        <v>25</v>
      </c>
      <c r="K585" s="3"/>
      <c r="L585" s="3"/>
      <c r="M585" s="3">
        <v>0</v>
      </c>
      <c r="N585" s="1">
        <v>1</v>
      </c>
      <c r="P585" s="1">
        <v>0</v>
      </c>
      <c r="Q585" s="3"/>
      <c r="R585" s="3"/>
      <c r="S585" s="3">
        <v>142770.20000000001</v>
      </c>
      <c r="T585" s="1">
        <v>6.917808</v>
      </c>
      <c r="U585" s="3"/>
      <c r="V585" s="3"/>
      <c r="X585" s="1">
        <v>142770.20000000001</v>
      </c>
      <c r="Y585" s="22">
        <v>6.917808</v>
      </c>
      <c r="Z585" s="4">
        <f>Table1[[#This Row],[totalTimeKept]]*$AD$3</f>
        <v>103767.12</v>
      </c>
      <c r="AA585" s="4">
        <f>Y585-Z585</f>
        <v>-103760.202192</v>
      </c>
    </row>
    <row r="586" spans="1:27" x14ac:dyDescent="0.3">
      <c r="A586" s="1">
        <v>10431221</v>
      </c>
      <c r="B586" s="1" t="s">
        <v>955</v>
      </c>
      <c r="C586" s="1" t="s">
        <v>956</v>
      </c>
      <c r="D586" s="1">
        <v>8846222</v>
      </c>
      <c r="E586" s="1">
        <v>290850</v>
      </c>
      <c r="F586" s="1" t="s">
        <v>46</v>
      </c>
      <c r="G586" s="1" t="s">
        <v>846</v>
      </c>
      <c r="H586" s="2">
        <v>43153</v>
      </c>
      <c r="I586" s="2">
        <v>43682</v>
      </c>
      <c r="J586" s="2">
        <v>44389</v>
      </c>
      <c r="K586" s="3">
        <v>625000</v>
      </c>
      <c r="L586" s="3">
        <v>200000</v>
      </c>
      <c r="M586" s="3">
        <v>-425000</v>
      </c>
      <c r="N586" s="1">
        <v>0</v>
      </c>
      <c r="O586" s="1">
        <v>1</v>
      </c>
      <c r="P586" s="1">
        <v>1</v>
      </c>
      <c r="Q586" s="3"/>
      <c r="R586" s="3"/>
      <c r="S586" s="3">
        <v>-134150</v>
      </c>
      <c r="T586" s="1">
        <v>1.9369860000000001</v>
      </c>
      <c r="U586" s="3"/>
      <c r="V586" s="3"/>
      <c r="X586" s="1">
        <v>-134150</v>
      </c>
      <c r="Y586" s="22">
        <v>1.9369860000000001</v>
      </c>
      <c r="Z586" s="4">
        <f>Table1[[#This Row],[totalTimeKept]]*$AD$3</f>
        <v>29054.79</v>
      </c>
      <c r="AA586" s="4">
        <f>Y586-Z586</f>
        <v>-29052.853014</v>
      </c>
    </row>
    <row r="587" spans="1:27" x14ac:dyDescent="0.3">
      <c r="A587" s="1">
        <v>10431766</v>
      </c>
      <c r="B587" s="1" t="s">
        <v>957</v>
      </c>
      <c r="C587" s="1" t="s">
        <v>958</v>
      </c>
      <c r="D587" s="1">
        <v>9327102</v>
      </c>
      <c r="E587" s="1">
        <v>417700</v>
      </c>
      <c r="F587" s="1" t="s">
        <v>46</v>
      </c>
      <c r="G587" s="1" t="s">
        <v>25</v>
      </c>
      <c r="H587" s="2">
        <v>43186</v>
      </c>
      <c r="I587" s="2">
        <v>43720</v>
      </c>
      <c r="J587" s="2" t="s">
        <v>25</v>
      </c>
      <c r="K587" s="3">
        <v>775000</v>
      </c>
      <c r="L587" s="3"/>
      <c r="M587" s="3">
        <v>-775000</v>
      </c>
      <c r="N587" s="1">
        <v>0</v>
      </c>
      <c r="O587" s="1">
        <v>1</v>
      </c>
      <c r="P587" s="1">
        <v>0</v>
      </c>
      <c r="Q587" s="3"/>
      <c r="R587" s="3"/>
      <c r="S587" s="3">
        <v>-357300</v>
      </c>
      <c r="T587" s="1">
        <v>5.4383559999999997</v>
      </c>
      <c r="U587" s="3"/>
      <c r="V587" s="3"/>
      <c r="X587" s="1">
        <v>-357300</v>
      </c>
      <c r="Y587" s="22">
        <v>5.4383559999999997</v>
      </c>
      <c r="Z587" s="4">
        <f>Table1[[#This Row],[totalTimeKept]]*$AD$3</f>
        <v>81575.34</v>
      </c>
      <c r="AA587" s="4">
        <f>Y587-Z587</f>
        <v>-81569.901643999998</v>
      </c>
    </row>
    <row r="588" spans="1:27" x14ac:dyDescent="0.3">
      <c r="A588" s="1">
        <v>10432503</v>
      </c>
      <c r="B588" s="1" t="s">
        <v>959</v>
      </c>
      <c r="C588" s="1" t="s">
        <v>171</v>
      </c>
      <c r="D588" s="1">
        <v>7485686</v>
      </c>
      <c r="E588" s="1">
        <v>0</v>
      </c>
      <c r="F588" s="1" t="s">
        <v>24</v>
      </c>
      <c r="G588" s="1" t="s">
        <v>349</v>
      </c>
      <c r="H588" s="2">
        <v>43186</v>
      </c>
      <c r="I588" s="2">
        <v>44873</v>
      </c>
      <c r="J588" s="2">
        <v>43412</v>
      </c>
      <c r="K588" s="3">
        <v>310000</v>
      </c>
      <c r="L588" s="3">
        <v>40000</v>
      </c>
      <c r="M588" s="3">
        <v>80000</v>
      </c>
      <c r="N588" s="1">
        <v>1</v>
      </c>
      <c r="O588" s="1">
        <v>1</v>
      </c>
      <c r="P588" s="1">
        <v>1</v>
      </c>
      <c r="Q588" s="3">
        <v>275000</v>
      </c>
      <c r="R588" s="3"/>
      <c r="S588" s="3">
        <v>-195000</v>
      </c>
      <c r="T588" s="1">
        <v>0.61917809999999995</v>
      </c>
      <c r="U588" s="3"/>
      <c r="V588" s="3"/>
      <c r="X588" s="1">
        <v>-195000</v>
      </c>
      <c r="Y588" s="22">
        <v>0.61917809999999995</v>
      </c>
      <c r="Z588" s="4">
        <f>Table1[[#This Row],[totalTimeKept]]*$AD$3</f>
        <v>9287.6714999999986</v>
      </c>
      <c r="AA588" s="4">
        <f>Y588-Z588</f>
        <v>-9287.0523218999988</v>
      </c>
    </row>
    <row r="589" spans="1:27" x14ac:dyDescent="0.3">
      <c r="A589" s="1">
        <v>10433780</v>
      </c>
      <c r="B589" s="1" t="s">
        <v>960</v>
      </c>
      <c r="C589" s="1" t="s">
        <v>961</v>
      </c>
      <c r="D589" s="1">
        <v>9533565</v>
      </c>
      <c r="E589" s="1">
        <v>2750</v>
      </c>
      <c r="F589" s="1" t="s">
        <v>46</v>
      </c>
      <c r="G589" s="1" t="s">
        <v>846</v>
      </c>
      <c r="H589" s="2">
        <v>43193</v>
      </c>
      <c r="I589" s="2">
        <v>43720</v>
      </c>
      <c r="J589" s="2">
        <v>44389</v>
      </c>
      <c r="K589" s="3">
        <v>800000</v>
      </c>
      <c r="L589" s="3">
        <v>47000</v>
      </c>
      <c r="M589" s="3">
        <v>-753000</v>
      </c>
      <c r="N589" s="1">
        <v>0</v>
      </c>
      <c r="O589" s="1">
        <v>1</v>
      </c>
      <c r="P589" s="1">
        <v>1</v>
      </c>
      <c r="Q589" s="3"/>
      <c r="R589" s="3"/>
      <c r="S589" s="3">
        <v>-750250</v>
      </c>
      <c r="T589" s="1">
        <v>1.8328770000000001</v>
      </c>
      <c r="U589" s="3"/>
      <c r="V589" s="3"/>
      <c r="X589" s="1">
        <v>-750250</v>
      </c>
      <c r="Y589" s="22">
        <v>1.8328770000000001</v>
      </c>
      <c r="Z589" s="4">
        <f>Table1[[#This Row],[totalTimeKept]]*$AD$3</f>
        <v>27493.155000000002</v>
      </c>
      <c r="AA589" s="4">
        <f>Y589-Z589</f>
        <v>-27491.322123000002</v>
      </c>
    </row>
    <row r="590" spans="1:27" x14ac:dyDescent="0.3">
      <c r="A590" s="1">
        <v>10435341</v>
      </c>
      <c r="B590" s="1" t="s">
        <v>962</v>
      </c>
      <c r="C590" s="1" t="s">
        <v>99</v>
      </c>
      <c r="D590" s="1">
        <v>6488449</v>
      </c>
      <c r="E590" s="1">
        <v>0</v>
      </c>
      <c r="F590" s="1" t="s">
        <v>25</v>
      </c>
      <c r="G590" s="1" t="s">
        <v>46</v>
      </c>
      <c r="H590" s="2">
        <v>43195</v>
      </c>
      <c r="I590" s="1" t="s">
        <v>25</v>
      </c>
      <c r="J590" s="2">
        <v>43473</v>
      </c>
      <c r="K590" s="3"/>
      <c r="L590" s="3">
        <v>90000</v>
      </c>
      <c r="M590" s="3">
        <v>90000</v>
      </c>
      <c r="N590" s="1">
        <v>1</v>
      </c>
      <c r="O590" s="1">
        <v>0</v>
      </c>
      <c r="P590" s="1">
        <v>1</v>
      </c>
      <c r="Q590" s="3"/>
      <c r="R590" s="3"/>
      <c r="S590" s="3">
        <v>90000</v>
      </c>
      <c r="T590" s="1">
        <v>0.76164379999999998</v>
      </c>
      <c r="U590" s="3"/>
      <c r="V590" s="3"/>
      <c r="X590" s="1">
        <v>90000</v>
      </c>
      <c r="Y590" s="22">
        <v>0.76164379999999998</v>
      </c>
      <c r="Z590" s="4">
        <f>Table1[[#This Row],[totalTimeKept]]*$AD$3</f>
        <v>11424.656999999999</v>
      </c>
      <c r="AA590" s="4">
        <f>Y590-Z590</f>
        <v>-11423.895356199999</v>
      </c>
    </row>
    <row r="591" spans="1:27" x14ac:dyDescent="0.3">
      <c r="A591" s="1">
        <v>10435892</v>
      </c>
      <c r="B591" s="1" t="s">
        <v>963</v>
      </c>
      <c r="C591" s="1" t="s">
        <v>964</v>
      </c>
      <c r="D591" s="1">
        <v>9135663</v>
      </c>
      <c r="E591" s="1">
        <v>0</v>
      </c>
      <c r="F591" s="1" t="s">
        <v>139</v>
      </c>
      <c r="G591" s="1" t="s">
        <v>25</v>
      </c>
      <c r="H591" s="2">
        <v>43193</v>
      </c>
      <c r="I591" s="2">
        <v>45238</v>
      </c>
      <c r="J591" s="2" t="s">
        <v>25</v>
      </c>
      <c r="K591" s="3">
        <v>240000</v>
      </c>
      <c r="L591" s="3"/>
      <c r="M591" s="3">
        <v>-240000</v>
      </c>
      <c r="N591" s="1">
        <v>0</v>
      </c>
      <c r="O591" s="1">
        <v>1</v>
      </c>
      <c r="P591" s="1">
        <v>0</v>
      </c>
      <c r="Q591" s="3"/>
      <c r="R591" s="3"/>
      <c r="S591" s="3">
        <v>-240000</v>
      </c>
      <c r="T591" s="1">
        <v>1.279452</v>
      </c>
      <c r="U591" s="3"/>
      <c r="V591" s="3"/>
      <c r="X591" s="1">
        <v>-240000</v>
      </c>
      <c r="Y591" s="22">
        <v>1.279452</v>
      </c>
      <c r="Z591" s="4">
        <f>Table1[[#This Row],[totalTimeKept]]*$AD$3</f>
        <v>19191.78</v>
      </c>
      <c r="AA591" s="4">
        <f>Y591-Z591</f>
        <v>-19190.500548</v>
      </c>
    </row>
    <row r="592" spans="1:27" x14ac:dyDescent="0.3">
      <c r="A592" s="1">
        <v>10438204</v>
      </c>
      <c r="B592" s="1" t="s">
        <v>965</v>
      </c>
      <c r="C592" s="1" t="s">
        <v>297</v>
      </c>
      <c r="D592" s="1">
        <v>8577081</v>
      </c>
      <c r="E592" s="1">
        <v>0</v>
      </c>
      <c r="F592" s="1" t="s">
        <v>25</v>
      </c>
      <c r="G592" s="1" t="s">
        <v>46</v>
      </c>
      <c r="H592" s="2">
        <v>43182</v>
      </c>
      <c r="I592" s="1" t="s">
        <v>25</v>
      </c>
      <c r="J592" s="2">
        <v>43720</v>
      </c>
      <c r="K592" s="3"/>
      <c r="L592" s="3">
        <v>200000</v>
      </c>
      <c r="M592" s="3">
        <v>200000</v>
      </c>
      <c r="N592" s="1">
        <v>1</v>
      </c>
      <c r="O592" s="1">
        <v>0</v>
      </c>
      <c r="P592" s="1">
        <v>1</v>
      </c>
      <c r="Q592" s="3"/>
      <c r="R592" s="3"/>
      <c r="S592" s="3">
        <v>200000</v>
      </c>
      <c r="T592" s="1">
        <v>1.473973</v>
      </c>
      <c r="U592" s="3"/>
      <c r="V592" s="3"/>
      <c r="X592" s="1">
        <v>200000</v>
      </c>
      <c r="Y592" s="22">
        <v>1.473973</v>
      </c>
      <c r="Z592" s="4">
        <f>Table1[[#This Row],[totalTimeKept]]*$AD$3</f>
        <v>22109.595000000001</v>
      </c>
      <c r="AA592" s="4">
        <f>Y592-Z592</f>
        <v>-22108.121027000001</v>
      </c>
    </row>
    <row r="593" spans="1:27" x14ac:dyDescent="0.3">
      <c r="A593" s="1">
        <v>10442677</v>
      </c>
      <c r="B593" s="1" t="s">
        <v>966</v>
      </c>
      <c r="C593" s="1" t="s">
        <v>266</v>
      </c>
      <c r="D593" s="1">
        <v>8310254</v>
      </c>
      <c r="E593" s="1">
        <v>0</v>
      </c>
      <c r="F593" s="1" t="s">
        <v>25</v>
      </c>
      <c r="G593" s="1" t="s">
        <v>46</v>
      </c>
      <c r="H593" s="2">
        <v>43206</v>
      </c>
      <c r="I593" s="2" t="s">
        <v>25</v>
      </c>
      <c r="J593" s="2">
        <v>43723</v>
      </c>
      <c r="K593" s="3"/>
      <c r="L593" s="3">
        <v>320000</v>
      </c>
      <c r="M593" s="3">
        <v>320000</v>
      </c>
      <c r="N593" s="1">
        <v>1</v>
      </c>
      <c r="O593" s="1">
        <v>0</v>
      </c>
      <c r="P593" s="1">
        <v>1</v>
      </c>
      <c r="Q593" s="3"/>
      <c r="R593" s="3"/>
      <c r="S593" s="3">
        <v>320000</v>
      </c>
      <c r="T593" s="1">
        <v>1.4164380000000001</v>
      </c>
      <c r="U593" s="3"/>
      <c r="V593" s="3"/>
      <c r="X593" s="1">
        <v>320000</v>
      </c>
      <c r="Y593" s="22">
        <v>1.4164380000000001</v>
      </c>
      <c r="Z593" s="4">
        <f>Table1[[#This Row],[totalTimeKept]]*$AD$3</f>
        <v>21246.57</v>
      </c>
      <c r="AA593" s="4">
        <f>Y593-Z593</f>
        <v>-21245.153562</v>
      </c>
    </row>
    <row r="594" spans="1:27" x14ac:dyDescent="0.3">
      <c r="A594" s="1">
        <v>10442990</v>
      </c>
      <c r="B594" s="1" t="s">
        <v>967</v>
      </c>
      <c r="C594" s="1" t="s">
        <v>968</v>
      </c>
      <c r="D594" s="1">
        <v>7146714</v>
      </c>
      <c r="E594" s="1">
        <v>279200</v>
      </c>
      <c r="F594" s="1" t="s">
        <v>46</v>
      </c>
      <c r="G594" s="1" t="s">
        <v>25</v>
      </c>
      <c r="H594" s="2">
        <v>43184</v>
      </c>
      <c r="I594" s="2">
        <v>43720</v>
      </c>
      <c r="J594" s="2" t="s">
        <v>25</v>
      </c>
      <c r="K594" s="3">
        <v>900000</v>
      </c>
      <c r="L594" s="3"/>
      <c r="M594" s="3">
        <v>-900000</v>
      </c>
      <c r="N594" s="1">
        <v>0</v>
      </c>
      <c r="O594" s="1">
        <v>1</v>
      </c>
      <c r="P594" s="1">
        <v>0</v>
      </c>
      <c r="Q594" s="3"/>
      <c r="R594" s="3"/>
      <c r="S594" s="3">
        <v>-620800</v>
      </c>
      <c r="T594" s="1">
        <v>5.4383559999999997</v>
      </c>
      <c r="U594" s="3"/>
      <c r="V594" s="3"/>
      <c r="X594" s="1">
        <v>-620800</v>
      </c>
      <c r="Y594" s="22">
        <v>5.4383559999999997</v>
      </c>
      <c r="Z594" s="4">
        <f>Table1[[#This Row],[totalTimeKept]]*$AD$3</f>
        <v>81575.34</v>
      </c>
      <c r="AA594" s="4">
        <f>Y594-Z594</f>
        <v>-81569.901643999998</v>
      </c>
    </row>
    <row r="595" spans="1:27" x14ac:dyDescent="0.3">
      <c r="A595" s="1">
        <v>10444118</v>
      </c>
      <c r="B595" s="1" t="s">
        <v>969</v>
      </c>
      <c r="C595" s="1" t="s">
        <v>970</v>
      </c>
      <c r="D595" s="1">
        <v>7725552</v>
      </c>
      <c r="E595" s="1">
        <v>0</v>
      </c>
      <c r="F595" s="1" t="s">
        <v>139</v>
      </c>
      <c r="G595" s="1" t="s">
        <v>25</v>
      </c>
      <c r="H595" s="2">
        <v>42641</v>
      </c>
      <c r="I595" s="2">
        <v>44509</v>
      </c>
      <c r="J595" s="2" t="s">
        <v>25</v>
      </c>
      <c r="K595" s="3">
        <v>300000</v>
      </c>
      <c r="L595" s="3"/>
      <c r="M595" s="3">
        <v>-300000</v>
      </c>
      <c r="N595" s="1">
        <v>0</v>
      </c>
      <c r="O595" s="1">
        <v>1</v>
      </c>
      <c r="P595" s="1">
        <v>0</v>
      </c>
      <c r="Q595" s="3">
        <v>0</v>
      </c>
      <c r="R595" s="3"/>
      <c r="S595" s="3">
        <v>-300000</v>
      </c>
      <c r="T595" s="1">
        <v>3.2767119999999998</v>
      </c>
      <c r="U595" s="3"/>
      <c r="V595" s="3"/>
      <c r="X595" s="1">
        <v>-300000</v>
      </c>
      <c r="Y595" s="22">
        <v>3.2767119999999998</v>
      </c>
      <c r="Z595" s="4">
        <f>Table1[[#This Row],[totalTimeKept]]*$AD$3</f>
        <v>49150.68</v>
      </c>
      <c r="AA595" s="4">
        <f>Y595-Z595</f>
        <v>-49147.403288000001</v>
      </c>
    </row>
    <row r="596" spans="1:27" x14ac:dyDescent="0.3">
      <c r="A596" s="1">
        <v>10445748</v>
      </c>
      <c r="B596" s="1" t="s">
        <v>971</v>
      </c>
      <c r="C596" s="1" t="s">
        <v>479</v>
      </c>
      <c r="D596" s="1">
        <v>7728446</v>
      </c>
      <c r="E596" s="1">
        <v>0</v>
      </c>
      <c r="F596" s="1" t="s">
        <v>25</v>
      </c>
      <c r="G596" s="1" t="s">
        <v>349</v>
      </c>
      <c r="H596" s="2">
        <v>43152</v>
      </c>
      <c r="I596" s="1" t="s">
        <v>25</v>
      </c>
      <c r="J596" s="2">
        <v>43410</v>
      </c>
      <c r="K596" s="3"/>
      <c r="L596" s="3">
        <v>380000</v>
      </c>
      <c r="M596" s="3">
        <v>380000</v>
      </c>
      <c r="N596" s="1">
        <v>1</v>
      </c>
      <c r="O596" s="1">
        <v>0</v>
      </c>
      <c r="P596" s="1">
        <v>1</v>
      </c>
      <c r="Q596" s="3"/>
      <c r="R596" s="3"/>
      <c r="S596" s="3">
        <v>380000</v>
      </c>
      <c r="T596" s="1">
        <v>0.70684930000000001</v>
      </c>
      <c r="U596" s="3"/>
      <c r="V596" s="3"/>
      <c r="X596" s="1">
        <v>380000</v>
      </c>
      <c r="Y596" s="22">
        <v>0.70684930000000001</v>
      </c>
      <c r="Z596" s="4">
        <f>Table1[[#This Row],[totalTimeKept]]*$AD$3</f>
        <v>10602.7395</v>
      </c>
      <c r="AA596" s="4">
        <f>Y596-Z596</f>
        <v>-10602.032650699999</v>
      </c>
    </row>
    <row r="597" spans="1:27" x14ac:dyDescent="0.3">
      <c r="A597" s="1">
        <v>10445755</v>
      </c>
      <c r="B597" s="1" t="s">
        <v>972</v>
      </c>
      <c r="C597" s="1" t="s">
        <v>148</v>
      </c>
      <c r="D597" s="1">
        <v>7222490</v>
      </c>
      <c r="E597" s="1">
        <v>0</v>
      </c>
      <c r="F597" s="1" t="s">
        <v>25</v>
      </c>
      <c r="G597" s="1" t="s">
        <v>46</v>
      </c>
      <c r="H597" s="2">
        <v>43167</v>
      </c>
      <c r="I597" s="1" t="s">
        <v>25</v>
      </c>
      <c r="J597" s="2">
        <v>43721</v>
      </c>
      <c r="K597" s="3"/>
      <c r="L597" s="3">
        <v>230000</v>
      </c>
      <c r="M597" s="3">
        <v>230000</v>
      </c>
      <c r="N597" s="1">
        <v>1</v>
      </c>
      <c r="O597" s="1">
        <v>0</v>
      </c>
      <c r="P597" s="1">
        <v>1</v>
      </c>
      <c r="Q597" s="3"/>
      <c r="R597" s="3"/>
      <c r="S597" s="3">
        <v>230000</v>
      </c>
      <c r="T597" s="1">
        <v>1.517808</v>
      </c>
      <c r="U597" s="3"/>
      <c r="V597" s="3"/>
      <c r="X597" s="1">
        <v>230000</v>
      </c>
      <c r="Y597" s="22">
        <v>1.517808</v>
      </c>
      <c r="Z597" s="4">
        <f>Table1[[#This Row],[totalTimeKept]]*$AD$3</f>
        <v>22767.119999999999</v>
      </c>
      <c r="AA597" s="4">
        <f>Y597-Z597</f>
        <v>-22765.602191999998</v>
      </c>
    </row>
    <row r="598" spans="1:27" x14ac:dyDescent="0.3">
      <c r="A598" s="1">
        <v>10445758</v>
      </c>
      <c r="B598" s="1" t="s">
        <v>973</v>
      </c>
      <c r="C598" s="1" t="s">
        <v>161</v>
      </c>
      <c r="D598" s="1">
        <v>7443895</v>
      </c>
      <c r="E598" s="1">
        <v>0</v>
      </c>
      <c r="F598" s="1" t="s">
        <v>25</v>
      </c>
      <c r="G598" s="1" t="s">
        <v>46</v>
      </c>
      <c r="H598" s="2">
        <v>43168</v>
      </c>
      <c r="I598" s="1" t="s">
        <v>25</v>
      </c>
      <c r="J598" s="2">
        <v>43683</v>
      </c>
      <c r="K598" s="3"/>
      <c r="L598" s="3">
        <v>525000</v>
      </c>
      <c r="M598" s="3">
        <v>525000</v>
      </c>
      <c r="N598" s="1">
        <v>1</v>
      </c>
      <c r="O598" s="1">
        <v>0</v>
      </c>
      <c r="P598" s="1">
        <v>1</v>
      </c>
      <c r="Q598" s="3"/>
      <c r="R598" s="3"/>
      <c r="S598" s="3">
        <v>525000</v>
      </c>
      <c r="T598" s="1">
        <v>1.4109590000000001</v>
      </c>
      <c r="U598" s="3"/>
      <c r="V598" s="3"/>
      <c r="X598" s="1">
        <v>525000</v>
      </c>
      <c r="Y598" s="22">
        <v>1.4109590000000001</v>
      </c>
      <c r="Z598" s="4">
        <f>Table1[[#This Row],[totalTimeKept]]*$AD$3</f>
        <v>21164.385000000002</v>
      </c>
      <c r="AA598" s="4">
        <f>Y598-Z598</f>
        <v>-21162.974041000001</v>
      </c>
    </row>
    <row r="599" spans="1:27" x14ac:dyDescent="0.3">
      <c r="A599" s="1">
        <v>10445759</v>
      </c>
      <c r="B599" s="1" t="s">
        <v>974</v>
      </c>
      <c r="C599" s="1" t="s">
        <v>199</v>
      </c>
      <c r="D599" s="1">
        <v>7732950</v>
      </c>
      <c r="E599" s="1">
        <v>0</v>
      </c>
      <c r="F599" s="1" t="s">
        <v>25</v>
      </c>
      <c r="G599" s="1" t="s">
        <v>349</v>
      </c>
      <c r="H599" s="2">
        <v>43171</v>
      </c>
      <c r="I599" s="1" t="s">
        <v>25</v>
      </c>
      <c r="J599" s="2">
        <v>43409</v>
      </c>
      <c r="K599" s="3"/>
      <c r="L599" s="3">
        <v>200000</v>
      </c>
      <c r="M599" s="3">
        <v>200000</v>
      </c>
      <c r="N599" s="1">
        <v>1</v>
      </c>
      <c r="O599" s="1">
        <v>0</v>
      </c>
      <c r="P599" s="1">
        <v>1</v>
      </c>
      <c r="Q599" s="3"/>
      <c r="R599" s="3"/>
      <c r="S599" s="3">
        <v>200000</v>
      </c>
      <c r="T599" s="1">
        <v>0.65205480000000005</v>
      </c>
      <c r="U599" s="3"/>
      <c r="V599" s="3"/>
      <c r="X599" s="1">
        <v>200000</v>
      </c>
      <c r="Y599" s="22">
        <v>0.65205480000000005</v>
      </c>
      <c r="Z599" s="4">
        <f>Table1[[#This Row],[totalTimeKept]]*$AD$3</f>
        <v>9780.8220000000001</v>
      </c>
      <c r="AA599" s="4">
        <f>Y599-Z599</f>
        <v>-9780.1699451999993</v>
      </c>
    </row>
    <row r="600" spans="1:27" x14ac:dyDescent="0.3">
      <c r="A600" s="1">
        <v>10445778</v>
      </c>
      <c r="B600" s="1" t="s">
        <v>975</v>
      </c>
      <c r="C600" s="1" t="s">
        <v>874</v>
      </c>
      <c r="D600" s="1">
        <v>7758346</v>
      </c>
      <c r="E600" s="1">
        <v>0</v>
      </c>
      <c r="F600" s="1" t="s">
        <v>25</v>
      </c>
      <c r="G600" s="1" t="s">
        <v>349</v>
      </c>
      <c r="H600" s="2">
        <v>43177</v>
      </c>
      <c r="I600" s="2" t="s">
        <v>25</v>
      </c>
      <c r="J600" s="2">
        <v>43408</v>
      </c>
      <c r="K600" s="3"/>
      <c r="L600" s="3">
        <v>600000</v>
      </c>
      <c r="M600" s="3">
        <v>600000</v>
      </c>
      <c r="N600" s="1">
        <v>1</v>
      </c>
      <c r="O600" s="1">
        <v>0</v>
      </c>
      <c r="P600" s="1">
        <v>1</v>
      </c>
      <c r="Q600" s="3"/>
      <c r="R600" s="3"/>
      <c r="S600" s="3">
        <v>600000</v>
      </c>
      <c r="T600" s="1">
        <v>0.63287669999999996</v>
      </c>
      <c r="U600" s="3"/>
      <c r="V600" s="3"/>
      <c r="X600" s="1">
        <v>600000</v>
      </c>
      <c r="Y600" s="22">
        <v>0.63287669999999996</v>
      </c>
      <c r="Z600" s="4">
        <f>Table1[[#This Row],[totalTimeKept]]*$AD$3</f>
        <v>9493.1504999999997</v>
      </c>
      <c r="AA600" s="4">
        <f>Y600-Z600</f>
        <v>-9492.5176233000002</v>
      </c>
    </row>
    <row r="601" spans="1:27" x14ac:dyDescent="0.3">
      <c r="A601" s="1">
        <v>10445780</v>
      </c>
      <c r="B601" s="1" t="s">
        <v>976</v>
      </c>
      <c r="C601" s="1" t="s">
        <v>527</v>
      </c>
      <c r="D601" s="1">
        <v>7833365</v>
      </c>
      <c r="E601" s="1">
        <v>0</v>
      </c>
      <c r="F601" s="1" t="s">
        <v>25</v>
      </c>
      <c r="G601" s="1" t="s">
        <v>46</v>
      </c>
      <c r="H601" s="2">
        <v>43177</v>
      </c>
      <c r="I601" s="1" t="s">
        <v>25</v>
      </c>
      <c r="J601" s="2">
        <v>43761</v>
      </c>
      <c r="K601" s="3"/>
      <c r="L601" s="3">
        <v>190000</v>
      </c>
      <c r="M601" s="3">
        <v>190000</v>
      </c>
      <c r="N601" s="1">
        <v>1</v>
      </c>
      <c r="O601" s="1">
        <v>0</v>
      </c>
      <c r="P601" s="1">
        <v>1</v>
      </c>
      <c r="Q601" s="3"/>
      <c r="R601" s="3"/>
      <c r="S601" s="3">
        <v>190000</v>
      </c>
      <c r="T601" s="1">
        <v>1.6</v>
      </c>
      <c r="U601" s="3"/>
      <c r="V601" s="3"/>
      <c r="X601" s="1">
        <v>190000</v>
      </c>
      <c r="Y601" s="22">
        <v>1.6</v>
      </c>
      <c r="Z601" s="4">
        <f>Table1[[#This Row],[totalTimeKept]]*$AD$3</f>
        <v>24000</v>
      </c>
      <c r="AA601" s="4">
        <f>Y601-Z601</f>
        <v>-23998.400000000001</v>
      </c>
    </row>
    <row r="602" spans="1:27" x14ac:dyDescent="0.3">
      <c r="A602" s="1">
        <v>10445781</v>
      </c>
      <c r="B602" s="1" t="s">
        <v>977</v>
      </c>
      <c r="C602" s="1" t="s">
        <v>163</v>
      </c>
      <c r="D602" s="1">
        <v>7454932</v>
      </c>
      <c r="E602" s="1">
        <v>0</v>
      </c>
      <c r="F602" s="1" t="s">
        <v>25</v>
      </c>
      <c r="G602" s="1" t="s">
        <v>46</v>
      </c>
      <c r="H602" s="2">
        <v>43180</v>
      </c>
      <c r="I602" s="1" t="s">
        <v>25</v>
      </c>
      <c r="J602" s="2">
        <v>43494</v>
      </c>
      <c r="K602" s="3"/>
      <c r="L602" s="3">
        <v>75000</v>
      </c>
      <c r="M602" s="3">
        <v>75000</v>
      </c>
      <c r="N602" s="1">
        <v>1</v>
      </c>
      <c r="O602" s="1">
        <v>0</v>
      </c>
      <c r="P602" s="1">
        <v>1</v>
      </c>
      <c r="Q602" s="3"/>
      <c r="R602" s="3"/>
      <c r="S602" s="3">
        <v>75000</v>
      </c>
      <c r="T602" s="1">
        <v>0.86027399999999998</v>
      </c>
      <c r="U602" s="3"/>
      <c r="V602" s="3"/>
      <c r="X602" s="1">
        <v>75000</v>
      </c>
      <c r="Y602" s="22">
        <v>0.86027399999999998</v>
      </c>
      <c r="Z602" s="4">
        <f>Table1[[#This Row],[totalTimeKept]]*$AD$3</f>
        <v>12904.11</v>
      </c>
      <c r="AA602" s="4">
        <f>Y602-Z602</f>
        <v>-12903.249726</v>
      </c>
    </row>
    <row r="603" spans="1:27" x14ac:dyDescent="0.3">
      <c r="A603" s="1">
        <v>10445786</v>
      </c>
      <c r="B603" s="1" t="s">
        <v>978</v>
      </c>
      <c r="C603" s="1" t="s">
        <v>252</v>
      </c>
      <c r="D603" s="1">
        <v>8266167</v>
      </c>
      <c r="E603" s="1">
        <v>0</v>
      </c>
      <c r="F603" s="1" t="s">
        <v>25</v>
      </c>
      <c r="G603" s="1" t="s">
        <v>46</v>
      </c>
      <c r="H603" s="2">
        <v>43184</v>
      </c>
      <c r="I603" s="1" t="s">
        <v>25</v>
      </c>
      <c r="J603" s="2">
        <v>43720</v>
      </c>
      <c r="K603" s="3"/>
      <c r="L603" s="3">
        <v>80000</v>
      </c>
      <c r="M603" s="3">
        <v>80000</v>
      </c>
      <c r="N603" s="1">
        <v>1</v>
      </c>
      <c r="O603" s="1">
        <v>0</v>
      </c>
      <c r="P603" s="1">
        <v>1</v>
      </c>
      <c r="Q603" s="3"/>
      <c r="R603" s="3"/>
      <c r="S603" s="3">
        <v>80000</v>
      </c>
      <c r="T603" s="1">
        <v>1.468493</v>
      </c>
      <c r="U603" s="3"/>
      <c r="V603" s="3"/>
      <c r="X603" s="1">
        <v>80000</v>
      </c>
      <c r="Y603" s="22">
        <v>1.468493</v>
      </c>
      <c r="Z603" s="4">
        <f>Table1[[#This Row],[totalTimeKept]]*$AD$3</f>
        <v>22027.395</v>
      </c>
      <c r="AA603" s="4">
        <f>Y603-Z603</f>
        <v>-22025.926507</v>
      </c>
    </row>
    <row r="604" spans="1:27" x14ac:dyDescent="0.3">
      <c r="A604" s="1">
        <v>10445788</v>
      </c>
      <c r="B604" s="1" t="s">
        <v>979</v>
      </c>
      <c r="C604" s="1" t="s">
        <v>666</v>
      </c>
      <c r="D604" s="1">
        <v>4665801</v>
      </c>
      <c r="E604" s="1">
        <v>0</v>
      </c>
      <c r="F604" s="1" t="s">
        <v>25</v>
      </c>
      <c r="G604" s="1" t="s">
        <v>349</v>
      </c>
      <c r="H604" s="2">
        <v>43186</v>
      </c>
      <c r="I604" s="1" t="s">
        <v>25</v>
      </c>
      <c r="J604" s="2">
        <v>43409</v>
      </c>
      <c r="K604" s="3"/>
      <c r="L604" s="3">
        <v>250000</v>
      </c>
      <c r="M604" s="3">
        <v>250000</v>
      </c>
      <c r="N604" s="1">
        <v>1</v>
      </c>
      <c r="O604" s="1">
        <v>0</v>
      </c>
      <c r="P604" s="1">
        <v>1</v>
      </c>
      <c r="Q604" s="3"/>
      <c r="R604" s="3"/>
      <c r="S604" s="3">
        <v>250000</v>
      </c>
      <c r="T604" s="1">
        <v>0.61095889999999997</v>
      </c>
      <c r="U604" s="3"/>
      <c r="V604" s="3"/>
      <c r="X604" s="1">
        <v>250000</v>
      </c>
      <c r="Y604" s="22">
        <v>0.61095889999999997</v>
      </c>
      <c r="Z604" s="4">
        <f>Table1[[#This Row],[totalTimeKept]]*$AD$3</f>
        <v>9164.3834999999999</v>
      </c>
      <c r="AA604" s="4">
        <f>Y604-Z604</f>
        <v>-9163.7725410999992</v>
      </c>
    </row>
    <row r="605" spans="1:27" x14ac:dyDescent="0.3">
      <c r="A605" s="1">
        <v>10445796</v>
      </c>
      <c r="B605" s="1" t="s">
        <v>980</v>
      </c>
      <c r="C605" s="1" t="s">
        <v>981</v>
      </c>
      <c r="D605" s="1">
        <v>7157188</v>
      </c>
      <c r="E605" s="1">
        <v>145000</v>
      </c>
      <c r="F605" s="1" t="s">
        <v>46</v>
      </c>
      <c r="G605" s="1" t="s">
        <v>846</v>
      </c>
      <c r="H605" s="2">
        <v>43173</v>
      </c>
      <c r="I605" s="2">
        <v>43718</v>
      </c>
      <c r="J605" s="2">
        <v>44519</v>
      </c>
      <c r="K605" s="3">
        <v>610000</v>
      </c>
      <c r="L605" s="3">
        <v>235000</v>
      </c>
      <c r="M605" s="3">
        <v>-375000</v>
      </c>
      <c r="N605" s="1">
        <v>0</v>
      </c>
      <c r="O605" s="1">
        <v>1</v>
      </c>
      <c r="P605" s="1">
        <v>1</v>
      </c>
      <c r="Q605" s="3"/>
      <c r="R605" s="3"/>
      <c r="S605" s="3">
        <v>-230000</v>
      </c>
      <c r="T605" s="1">
        <v>2.1945199999999998</v>
      </c>
      <c r="U605" s="3"/>
      <c r="V605" s="3"/>
      <c r="X605" s="1">
        <v>-230000</v>
      </c>
      <c r="Y605" s="22">
        <v>2.1945199999999998</v>
      </c>
      <c r="Z605" s="4">
        <f>Table1[[#This Row],[totalTimeKept]]*$AD$3</f>
        <v>32917.799999999996</v>
      </c>
      <c r="AA605" s="4">
        <f>Y605-Z605</f>
        <v>-32915.605479999998</v>
      </c>
    </row>
    <row r="606" spans="1:27" x14ac:dyDescent="0.3">
      <c r="A606" s="1">
        <v>10446478</v>
      </c>
      <c r="B606" s="1" t="s">
        <v>982</v>
      </c>
      <c r="C606" s="1" t="s">
        <v>983</v>
      </c>
      <c r="D606" s="1">
        <v>6535015</v>
      </c>
      <c r="E606" s="1">
        <v>19065</v>
      </c>
      <c r="F606" s="1" t="s">
        <v>46</v>
      </c>
      <c r="G606" s="1" t="s">
        <v>25</v>
      </c>
      <c r="H606" s="2">
        <v>43214</v>
      </c>
      <c r="I606" s="2">
        <v>43722</v>
      </c>
      <c r="J606" s="2" t="s">
        <v>25</v>
      </c>
      <c r="K606" s="3">
        <v>410000</v>
      </c>
      <c r="L606" s="3"/>
      <c r="M606" s="3">
        <v>-410000</v>
      </c>
      <c r="N606" s="1">
        <v>0</v>
      </c>
      <c r="O606" s="1">
        <v>1</v>
      </c>
      <c r="P606" s="1">
        <v>0</v>
      </c>
      <c r="Q606" s="3"/>
      <c r="R606" s="3"/>
      <c r="S606" s="3">
        <v>-390935</v>
      </c>
      <c r="T606" s="1">
        <v>5.4328770000000004</v>
      </c>
      <c r="U606" s="3"/>
      <c r="V606" s="3"/>
      <c r="X606" s="1">
        <v>-390935</v>
      </c>
      <c r="Y606" s="22">
        <v>5.4328770000000004</v>
      </c>
      <c r="Z606" s="4">
        <f>Table1[[#This Row],[totalTimeKept]]*$AD$3</f>
        <v>81493.154999999999</v>
      </c>
      <c r="AA606" s="4">
        <f>Y606-Z606</f>
        <v>-81487.722123</v>
      </c>
    </row>
    <row r="607" spans="1:27" x14ac:dyDescent="0.3">
      <c r="A607" s="1">
        <v>10446737</v>
      </c>
      <c r="B607" s="1" t="s">
        <v>984</v>
      </c>
      <c r="C607" s="1" t="s">
        <v>77</v>
      </c>
      <c r="D607" s="1">
        <v>5352492</v>
      </c>
      <c r="E607" s="1">
        <v>0</v>
      </c>
      <c r="F607" s="1" t="s">
        <v>25</v>
      </c>
      <c r="G607" s="1" t="s">
        <v>46</v>
      </c>
      <c r="H607" s="2">
        <v>43218</v>
      </c>
      <c r="I607" s="2" t="s">
        <v>25</v>
      </c>
      <c r="J607" s="2">
        <v>43725</v>
      </c>
      <c r="K607" s="3"/>
      <c r="L607" s="3">
        <v>62000</v>
      </c>
      <c r="M607" s="3">
        <v>62000</v>
      </c>
      <c r="N607" s="1">
        <v>1</v>
      </c>
      <c r="O607" s="1">
        <v>0</v>
      </c>
      <c r="P607" s="1">
        <v>1</v>
      </c>
      <c r="Q607" s="3"/>
      <c r="R607" s="3"/>
      <c r="S607" s="3">
        <v>62000</v>
      </c>
      <c r="T607" s="1">
        <v>1.389041</v>
      </c>
      <c r="U607" s="3"/>
      <c r="V607" s="3"/>
      <c r="X607" s="1">
        <v>62000</v>
      </c>
      <c r="Y607" s="22">
        <v>1.389041</v>
      </c>
      <c r="Z607" s="4">
        <f>Table1[[#This Row],[totalTimeKept]]*$AD$3</f>
        <v>20835.614999999998</v>
      </c>
      <c r="AA607" s="4">
        <f>Y607-Z607</f>
        <v>-20834.225958999999</v>
      </c>
    </row>
    <row r="608" spans="1:27" x14ac:dyDescent="0.3">
      <c r="A608" s="1">
        <v>10446738</v>
      </c>
      <c r="B608" s="1" t="s">
        <v>985</v>
      </c>
      <c r="C608" s="1" t="s">
        <v>101</v>
      </c>
      <c r="D608" s="1">
        <v>6489834</v>
      </c>
      <c r="E608" s="1">
        <v>0</v>
      </c>
      <c r="F608" s="1" t="s">
        <v>25</v>
      </c>
      <c r="G608" s="1" t="s">
        <v>349</v>
      </c>
      <c r="H608" s="2">
        <v>43208</v>
      </c>
      <c r="I608" s="2" t="s">
        <v>25</v>
      </c>
      <c r="J608" s="2">
        <v>43412</v>
      </c>
      <c r="K608" s="3"/>
      <c r="L608" s="3">
        <v>145000</v>
      </c>
      <c r="M608" s="3">
        <v>145000</v>
      </c>
      <c r="N608" s="1">
        <v>1</v>
      </c>
      <c r="O608" s="1">
        <v>0</v>
      </c>
      <c r="P608" s="1">
        <v>1</v>
      </c>
      <c r="Q608" s="3"/>
      <c r="R608" s="3"/>
      <c r="S608" s="3">
        <v>145000</v>
      </c>
      <c r="T608" s="1">
        <v>0.55890410000000001</v>
      </c>
      <c r="U608" s="3"/>
      <c r="V608" s="3"/>
      <c r="X608" s="1">
        <v>145000</v>
      </c>
      <c r="Y608" s="22">
        <v>0.55890410000000001</v>
      </c>
      <c r="Z608" s="4">
        <f>Table1[[#This Row],[totalTimeKept]]*$AD$3</f>
        <v>8383.5614999999998</v>
      </c>
      <c r="AA608" s="4">
        <f>Y608-Z608</f>
        <v>-8383.0025958999995</v>
      </c>
    </row>
    <row r="609" spans="1:27" x14ac:dyDescent="0.3">
      <c r="A609" s="1">
        <v>10446955</v>
      </c>
      <c r="B609" s="1" t="s">
        <v>986</v>
      </c>
      <c r="C609" s="1" t="s">
        <v>75</v>
      </c>
      <c r="D609" s="1">
        <v>5334092</v>
      </c>
      <c r="E609" s="1">
        <v>0</v>
      </c>
      <c r="F609" s="1" t="s">
        <v>25</v>
      </c>
      <c r="G609" s="1" t="s">
        <v>349</v>
      </c>
      <c r="H609" s="2">
        <v>43188</v>
      </c>
      <c r="I609" s="1" t="s">
        <v>25</v>
      </c>
      <c r="J609" s="2">
        <v>43410</v>
      </c>
      <c r="K609" s="3"/>
      <c r="L609" s="3">
        <v>170000</v>
      </c>
      <c r="M609" s="3">
        <v>170000</v>
      </c>
      <c r="N609" s="1">
        <v>1</v>
      </c>
      <c r="O609" s="1">
        <v>0</v>
      </c>
      <c r="P609" s="1">
        <v>1</v>
      </c>
      <c r="Q609" s="3"/>
      <c r="R609" s="3"/>
      <c r="S609" s="3">
        <v>170000</v>
      </c>
      <c r="T609" s="1">
        <v>0.60821919999999996</v>
      </c>
      <c r="U609" s="3"/>
      <c r="V609" s="3"/>
      <c r="X609" s="1">
        <v>170000</v>
      </c>
      <c r="Y609" s="22">
        <v>0.60821919999999996</v>
      </c>
      <c r="Z609" s="4">
        <f>Table1[[#This Row],[totalTimeKept]]*$AD$3</f>
        <v>9123.2879999999986</v>
      </c>
      <c r="AA609" s="4">
        <f>Y609-Z609</f>
        <v>-9122.6797807999992</v>
      </c>
    </row>
    <row r="610" spans="1:27" x14ac:dyDescent="0.3">
      <c r="A610" s="1">
        <v>10449641</v>
      </c>
      <c r="B610" s="1" t="s">
        <v>987</v>
      </c>
      <c r="C610" s="1" t="s">
        <v>885</v>
      </c>
      <c r="D610" s="1">
        <v>8380530</v>
      </c>
      <c r="E610" s="1">
        <v>0</v>
      </c>
      <c r="F610" s="1" t="s">
        <v>25</v>
      </c>
      <c r="G610" s="1" t="s">
        <v>46</v>
      </c>
      <c r="H610" s="2">
        <v>43225</v>
      </c>
      <c r="I610" s="1" t="s">
        <v>25</v>
      </c>
      <c r="J610" s="2">
        <v>43725</v>
      </c>
      <c r="K610" s="3"/>
      <c r="L610" s="3">
        <v>70000</v>
      </c>
      <c r="M610" s="3">
        <v>70000</v>
      </c>
      <c r="N610" s="1">
        <v>1</v>
      </c>
      <c r="O610" s="1">
        <v>0</v>
      </c>
      <c r="P610" s="1">
        <v>1</v>
      </c>
      <c r="Q610" s="3"/>
      <c r="R610" s="3"/>
      <c r="S610" s="3">
        <v>70000</v>
      </c>
      <c r="T610" s="1">
        <v>1.3698630000000001</v>
      </c>
      <c r="U610" s="3"/>
      <c r="V610" s="3"/>
      <c r="X610" s="1">
        <v>70000</v>
      </c>
      <c r="Y610" s="22">
        <v>1.3698630000000001</v>
      </c>
      <c r="Z610" s="4">
        <f>Table1[[#This Row],[totalTimeKept]]*$AD$3</f>
        <v>20547.945</v>
      </c>
      <c r="AA610" s="4">
        <f>Y610-Z610</f>
        <v>-20546.575137</v>
      </c>
    </row>
    <row r="611" spans="1:27" x14ac:dyDescent="0.3">
      <c r="A611" s="1">
        <v>10449642</v>
      </c>
      <c r="B611" s="1" t="s">
        <v>988</v>
      </c>
      <c r="C611" s="1" t="s">
        <v>109</v>
      </c>
      <c r="D611" s="1">
        <v>6634018</v>
      </c>
      <c r="E611" s="1">
        <v>0</v>
      </c>
      <c r="F611" s="1" t="s">
        <v>25</v>
      </c>
      <c r="G611" s="1" t="s">
        <v>349</v>
      </c>
      <c r="H611" s="2">
        <v>43212</v>
      </c>
      <c r="I611" s="2" t="s">
        <v>25</v>
      </c>
      <c r="J611" s="2">
        <v>43411</v>
      </c>
      <c r="K611" s="3"/>
      <c r="L611" s="3">
        <v>90000</v>
      </c>
      <c r="M611" s="3">
        <v>90000</v>
      </c>
      <c r="N611" s="1">
        <v>1</v>
      </c>
      <c r="O611" s="1">
        <v>0</v>
      </c>
      <c r="P611" s="1">
        <v>1</v>
      </c>
      <c r="Q611" s="3"/>
      <c r="R611" s="3"/>
      <c r="S611" s="3">
        <v>90000</v>
      </c>
      <c r="T611" s="1">
        <v>0.54520550000000001</v>
      </c>
      <c r="U611" s="3"/>
      <c r="V611" s="3"/>
      <c r="X611" s="1">
        <v>90000</v>
      </c>
      <c r="Y611" s="22">
        <v>0.54520550000000001</v>
      </c>
      <c r="Z611" s="4">
        <f>Table1[[#This Row],[totalTimeKept]]*$AD$3</f>
        <v>8178.0825000000004</v>
      </c>
      <c r="AA611" s="4">
        <f>Y611-Z611</f>
        <v>-8177.5372945000008</v>
      </c>
    </row>
    <row r="612" spans="1:27" x14ac:dyDescent="0.3">
      <c r="A612" s="1">
        <v>10452103</v>
      </c>
      <c r="B612" s="1" t="s">
        <v>989</v>
      </c>
      <c r="C612" s="1" t="s">
        <v>990</v>
      </c>
      <c r="D612" s="1">
        <v>8700286</v>
      </c>
      <c r="E612" s="1">
        <v>0</v>
      </c>
      <c r="F612" s="1" t="s">
        <v>139</v>
      </c>
      <c r="G612" s="1" t="s">
        <v>25</v>
      </c>
      <c r="H612" s="2">
        <v>43224</v>
      </c>
      <c r="I612" s="2">
        <v>45238</v>
      </c>
      <c r="J612" s="2" t="s">
        <v>25</v>
      </c>
      <c r="K612" s="3">
        <v>260000</v>
      </c>
      <c r="L612" s="3"/>
      <c r="M612" s="3">
        <v>-260000</v>
      </c>
      <c r="N612" s="1">
        <v>0</v>
      </c>
      <c r="O612" s="1">
        <v>1</v>
      </c>
      <c r="P612" s="1">
        <v>0</v>
      </c>
      <c r="Q612" s="3">
        <v>200000</v>
      </c>
      <c r="R612" s="3"/>
      <c r="S612" s="3">
        <v>-460000</v>
      </c>
      <c r="T612" s="1">
        <v>1.279452</v>
      </c>
      <c r="U612" s="3"/>
      <c r="V612" s="3"/>
      <c r="X612" s="1">
        <v>-460000</v>
      </c>
      <c r="Y612" s="22">
        <v>1.279452</v>
      </c>
      <c r="Z612" s="4">
        <f>Table1[[#This Row],[totalTimeKept]]*$AD$3</f>
        <v>19191.78</v>
      </c>
      <c r="AA612" s="4">
        <f>Y612-Z612</f>
        <v>-19190.500548</v>
      </c>
    </row>
    <row r="613" spans="1:27" x14ac:dyDescent="0.3">
      <c r="A613" s="1">
        <v>10454751</v>
      </c>
      <c r="B613" s="1" t="s">
        <v>991</v>
      </c>
      <c r="C613" s="1" t="s">
        <v>862</v>
      </c>
      <c r="D613" s="1">
        <v>9339875</v>
      </c>
      <c r="E613" s="1">
        <v>0</v>
      </c>
      <c r="F613" s="1" t="s">
        <v>25</v>
      </c>
      <c r="G613" s="1" t="s">
        <v>349</v>
      </c>
      <c r="H613" s="2">
        <v>43238</v>
      </c>
      <c r="I613" s="2" t="s">
        <v>25</v>
      </c>
      <c r="J613" s="2">
        <v>43410</v>
      </c>
      <c r="K613" s="3"/>
      <c r="L613" s="3">
        <v>220000</v>
      </c>
      <c r="M613" s="3">
        <v>220000</v>
      </c>
      <c r="N613" s="1">
        <v>1</v>
      </c>
      <c r="O613" s="1">
        <v>0</v>
      </c>
      <c r="P613" s="1">
        <v>1</v>
      </c>
      <c r="Q613" s="3"/>
      <c r="R613" s="3"/>
      <c r="S613" s="3">
        <v>220000</v>
      </c>
      <c r="T613" s="1">
        <v>0.47123290000000001</v>
      </c>
      <c r="U613" s="3"/>
      <c r="V613" s="3"/>
      <c r="X613" s="1">
        <v>220000</v>
      </c>
      <c r="Y613" s="22">
        <v>0.47123290000000001</v>
      </c>
      <c r="Z613" s="4">
        <f>Table1[[#This Row],[totalTimeKept]]*$AD$3</f>
        <v>7068.4935000000005</v>
      </c>
      <c r="AA613" s="4">
        <f>Y613-Z613</f>
        <v>-7068.0222671000001</v>
      </c>
    </row>
    <row r="614" spans="1:27" x14ac:dyDescent="0.3">
      <c r="A614" s="1">
        <v>10456313</v>
      </c>
      <c r="B614" s="1" t="s">
        <v>992</v>
      </c>
      <c r="C614" s="1" t="s">
        <v>117</v>
      </c>
      <c r="D614" s="1">
        <v>6801852</v>
      </c>
      <c r="E614" s="1">
        <v>0</v>
      </c>
      <c r="F614" s="1" t="s">
        <v>25</v>
      </c>
      <c r="G614" s="1" t="s">
        <v>46</v>
      </c>
      <c r="H614" s="2">
        <v>43224</v>
      </c>
      <c r="I614" s="1" t="s">
        <v>25</v>
      </c>
      <c r="J614" s="2">
        <v>43746</v>
      </c>
      <c r="K614" s="3"/>
      <c r="L614" s="3">
        <v>50000</v>
      </c>
      <c r="M614" s="3">
        <v>50000</v>
      </c>
      <c r="N614" s="1">
        <v>1</v>
      </c>
      <c r="O614" s="1">
        <v>0</v>
      </c>
      <c r="P614" s="1">
        <v>1</v>
      </c>
      <c r="Q614" s="3"/>
      <c r="R614" s="3"/>
      <c r="S614" s="3">
        <v>50000</v>
      </c>
      <c r="T614" s="1">
        <v>1.430137</v>
      </c>
      <c r="U614" s="3"/>
      <c r="V614" s="3"/>
      <c r="X614" s="1">
        <v>50000</v>
      </c>
      <c r="Y614" s="22">
        <v>1.430137</v>
      </c>
      <c r="Z614" s="4">
        <f>Table1[[#This Row],[totalTimeKept]]*$AD$3</f>
        <v>21452.055</v>
      </c>
      <c r="AA614" s="4">
        <f>Y614-Z614</f>
        <v>-21450.624863000001</v>
      </c>
    </row>
    <row r="615" spans="1:27" x14ac:dyDescent="0.3">
      <c r="A615" s="1">
        <v>10456323</v>
      </c>
      <c r="B615" s="1" t="s">
        <v>993</v>
      </c>
      <c r="C615" s="1" t="s">
        <v>564</v>
      </c>
      <c r="D615" s="1">
        <v>4630264</v>
      </c>
      <c r="E615" s="1">
        <v>0</v>
      </c>
      <c r="F615" s="1" t="s">
        <v>25</v>
      </c>
      <c r="G615" s="1" t="s">
        <v>24</v>
      </c>
      <c r="H615" s="2">
        <v>43207</v>
      </c>
      <c r="I615" s="2" t="s">
        <v>25</v>
      </c>
      <c r="J615" s="2">
        <v>44511</v>
      </c>
      <c r="K615" s="3"/>
      <c r="L615" s="3">
        <v>310000</v>
      </c>
      <c r="M615" s="3">
        <v>310000</v>
      </c>
      <c r="N615" s="1">
        <v>1</v>
      </c>
      <c r="O615" s="1">
        <v>0</v>
      </c>
      <c r="P615" s="1">
        <v>1</v>
      </c>
      <c r="Q615" s="3"/>
      <c r="R615" s="3"/>
      <c r="S615" s="3">
        <v>310000</v>
      </c>
      <c r="T615" s="1">
        <v>3.572603</v>
      </c>
      <c r="U615" s="3"/>
      <c r="V615" s="3"/>
      <c r="X615" s="1">
        <v>310000</v>
      </c>
      <c r="Y615" s="22">
        <v>3.572603</v>
      </c>
      <c r="Z615" s="4">
        <f>Table1[[#This Row],[totalTimeKept]]*$AD$3</f>
        <v>53589.044999999998</v>
      </c>
      <c r="AA615" s="4">
        <f>Y615-Z615</f>
        <v>-53585.472396999998</v>
      </c>
    </row>
    <row r="616" spans="1:27" x14ac:dyDescent="0.3">
      <c r="A616" s="1">
        <v>10456326</v>
      </c>
      <c r="B616" s="1" t="s">
        <v>994</v>
      </c>
      <c r="C616" s="1" t="s">
        <v>213</v>
      </c>
      <c r="D616" s="1">
        <v>7780067</v>
      </c>
      <c r="E616" s="1">
        <v>21650</v>
      </c>
      <c r="F616" s="1" t="s">
        <v>25</v>
      </c>
      <c r="G616" s="1" t="s">
        <v>846</v>
      </c>
      <c r="H616" s="2">
        <v>43206</v>
      </c>
      <c r="I616" s="2" t="s">
        <v>25</v>
      </c>
      <c r="J616" s="2">
        <v>44389</v>
      </c>
      <c r="K616" s="3"/>
      <c r="L616" s="3">
        <v>200000</v>
      </c>
      <c r="M616" s="3">
        <v>200000</v>
      </c>
      <c r="N616" s="1">
        <v>1</v>
      </c>
      <c r="O616" s="1">
        <v>0</v>
      </c>
      <c r="P616" s="1">
        <v>1</v>
      </c>
      <c r="Q616" s="3"/>
      <c r="R616" s="3"/>
      <c r="S616" s="3">
        <v>221650</v>
      </c>
      <c r="T616" s="1">
        <v>3.2410960000000002</v>
      </c>
      <c r="U616" s="3"/>
      <c r="V616" s="3"/>
      <c r="X616" s="1">
        <v>221650</v>
      </c>
      <c r="Y616" s="22">
        <v>3.2410960000000002</v>
      </c>
      <c r="Z616" s="4">
        <f>Table1[[#This Row],[totalTimeKept]]*$AD$3</f>
        <v>48616.44</v>
      </c>
      <c r="AA616" s="4">
        <f>Y616-Z616</f>
        <v>-48613.198904000004</v>
      </c>
    </row>
    <row r="617" spans="1:27" x14ac:dyDescent="0.3">
      <c r="A617" s="1">
        <v>10456355</v>
      </c>
      <c r="B617" s="1" t="s">
        <v>995</v>
      </c>
      <c r="C617" s="1" t="s">
        <v>468</v>
      </c>
      <c r="D617" s="1">
        <v>9270881</v>
      </c>
      <c r="E617" s="1">
        <v>0</v>
      </c>
      <c r="F617" s="1" t="s">
        <v>25</v>
      </c>
      <c r="G617" s="1" t="s">
        <v>349</v>
      </c>
      <c r="H617" s="2">
        <v>43200</v>
      </c>
      <c r="I617" s="2" t="s">
        <v>25</v>
      </c>
      <c r="J617" s="2">
        <v>43416</v>
      </c>
      <c r="K617" s="3"/>
      <c r="L617" s="3">
        <v>25000</v>
      </c>
      <c r="M617" s="3">
        <v>25000</v>
      </c>
      <c r="N617" s="1">
        <v>1</v>
      </c>
      <c r="O617" s="1">
        <v>0</v>
      </c>
      <c r="P617" s="1">
        <v>1</v>
      </c>
      <c r="Q617" s="3"/>
      <c r="R617" s="3"/>
      <c r="S617" s="3">
        <v>25000</v>
      </c>
      <c r="T617" s="1">
        <v>0.5917808</v>
      </c>
      <c r="U617" s="3"/>
      <c r="V617" s="3"/>
      <c r="X617" s="1">
        <v>25000</v>
      </c>
      <c r="Y617" s="22">
        <v>0.5917808</v>
      </c>
      <c r="Z617" s="4">
        <f>Table1[[#This Row],[totalTimeKept]]*$AD$3</f>
        <v>8876.7119999999995</v>
      </c>
      <c r="AA617" s="4">
        <f>Y617-Z617</f>
        <v>-8876.1202192000001</v>
      </c>
    </row>
    <row r="618" spans="1:27" x14ac:dyDescent="0.3">
      <c r="A618" s="1">
        <v>10456444</v>
      </c>
      <c r="B618" s="1" t="s">
        <v>996</v>
      </c>
      <c r="C618" s="1" t="s">
        <v>234</v>
      </c>
      <c r="D618" s="1">
        <v>8037393</v>
      </c>
      <c r="E618" s="1">
        <v>0</v>
      </c>
      <c r="F618" s="1" t="s">
        <v>25</v>
      </c>
      <c r="G618" s="1" t="s">
        <v>24</v>
      </c>
      <c r="H618" s="2">
        <v>43192</v>
      </c>
      <c r="I618" s="2" t="s">
        <v>25</v>
      </c>
      <c r="J618" s="2">
        <v>44872</v>
      </c>
      <c r="K618" s="3"/>
      <c r="L618" s="3">
        <v>900000</v>
      </c>
      <c r="M618" s="3">
        <v>900000</v>
      </c>
      <c r="N618" s="1">
        <v>1</v>
      </c>
      <c r="O618" s="1">
        <v>0</v>
      </c>
      <c r="P618" s="1">
        <v>1</v>
      </c>
      <c r="Q618" s="3">
        <v>150000</v>
      </c>
      <c r="R618" s="3"/>
      <c r="S618" s="3">
        <v>750000</v>
      </c>
      <c r="T618" s="1">
        <v>4.6027399999999998</v>
      </c>
      <c r="U618" s="3"/>
      <c r="V618" s="3"/>
      <c r="X618" s="1">
        <v>750000</v>
      </c>
      <c r="Y618" s="22">
        <v>4.6027399999999998</v>
      </c>
      <c r="Z618" s="4">
        <f>Table1[[#This Row],[totalTimeKept]]*$AD$3</f>
        <v>69041.099999999991</v>
      </c>
      <c r="AA618" s="4">
        <f>Y618-Z618</f>
        <v>-69036.497259999989</v>
      </c>
    </row>
    <row r="619" spans="1:27" x14ac:dyDescent="0.3">
      <c r="A619" s="1">
        <v>10456456</v>
      </c>
      <c r="B619" s="1" t="s">
        <v>997</v>
      </c>
      <c r="C619" s="1" t="s">
        <v>998</v>
      </c>
      <c r="D619" s="1">
        <v>6779756</v>
      </c>
      <c r="E619" s="1">
        <v>0</v>
      </c>
      <c r="F619" s="1" t="s">
        <v>25</v>
      </c>
      <c r="G619" s="1" t="s">
        <v>349</v>
      </c>
      <c r="H619" s="2">
        <v>43196</v>
      </c>
      <c r="I619" s="2" t="s">
        <v>25</v>
      </c>
      <c r="J619" s="2">
        <v>43415</v>
      </c>
      <c r="K619" s="3"/>
      <c r="L619" s="3">
        <v>100000</v>
      </c>
      <c r="M619" s="3">
        <v>100000</v>
      </c>
      <c r="N619" s="1">
        <v>1</v>
      </c>
      <c r="O619" s="1">
        <v>0</v>
      </c>
      <c r="P619" s="1">
        <v>1</v>
      </c>
      <c r="Q619" s="3"/>
      <c r="R619" s="3"/>
      <c r="S619" s="3">
        <v>100000</v>
      </c>
      <c r="T619" s="1">
        <v>0.6</v>
      </c>
      <c r="U619" s="3"/>
      <c r="V619" s="3"/>
      <c r="X619" s="1">
        <v>100000</v>
      </c>
      <c r="Y619" s="22">
        <v>0.6</v>
      </c>
      <c r="Z619" s="4">
        <f>Table1[[#This Row],[totalTimeKept]]*$AD$3</f>
        <v>9000</v>
      </c>
      <c r="AA619" s="4">
        <f>Y619-Z619</f>
        <v>-8999.4</v>
      </c>
    </row>
    <row r="620" spans="1:27" x14ac:dyDescent="0.3">
      <c r="A620" s="1">
        <v>10456458</v>
      </c>
      <c r="B620" s="1" t="s">
        <v>999</v>
      </c>
      <c r="C620" s="1" t="s">
        <v>316</v>
      </c>
      <c r="D620" s="1">
        <v>8603882</v>
      </c>
      <c r="E620" s="1">
        <v>0</v>
      </c>
      <c r="F620" s="1" t="s">
        <v>25</v>
      </c>
      <c r="G620" s="1" t="s">
        <v>25</v>
      </c>
      <c r="H620" s="2">
        <v>43204</v>
      </c>
      <c r="I620" s="2" t="s">
        <v>25</v>
      </c>
      <c r="J620" s="2" t="s">
        <v>25</v>
      </c>
      <c r="K620" s="3"/>
      <c r="L620" s="3"/>
      <c r="M620" s="3">
        <v>0</v>
      </c>
      <c r="N620" s="1">
        <v>1</v>
      </c>
      <c r="P620" s="1">
        <v>0</v>
      </c>
      <c r="Q620" s="3"/>
      <c r="R620" s="3"/>
      <c r="S620" s="3">
        <v>0</v>
      </c>
      <c r="T620" s="1">
        <v>6.852055</v>
      </c>
      <c r="U620" s="3"/>
      <c r="V620" s="3"/>
      <c r="X620" s="1">
        <v>0</v>
      </c>
      <c r="Y620" s="22">
        <v>6.852055</v>
      </c>
      <c r="Z620" s="4">
        <f>Table1[[#This Row],[totalTimeKept]]*$AD$3</f>
        <v>102780.825</v>
      </c>
      <c r="AA620" s="4">
        <f>Y620-Z620</f>
        <v>-102773.972945</v>
      </c>
    </row>
    <row r="621" spans="1:27" x14ac:dyDescent="0.3">
      <c r="A621" s="1">
        <v>10456461</v>
      </c>
      <c r="B621" s="1" t="s">
        <v>1000</v>
      </c>
      <c r="C621" s="1" t="s">
        <v>201</v>
      </c>
      <c r="D621" s="1">
        <v>7742433</v>
      </c>
      <c r="E621" s="1">
        <v>0</v>
      </c>
      <c r="F621" s="1" t="s">
        <v>25</v>
      </c>
      <c r="G621" s="1" t="s">
        <v>46</v>
      </c>
      <c r="H621" s="2">
        <v>43210</v>
      </c>
      <c r="I621" s="2" t="s">
        <v>25</v>
      </c>
      <c r="J621" s="2">
        <v>43760</v>
      </c>
      <c r="K621" s="3"/>
      <c r="L621" s="3">
        <v>125000</v>
      </c>
      <c r="M621" s="3">
        <v>125000</v>
      </c>
      <c r="N621" s="1">
        <v>1</v>
      </c>
      <c r="O621" s="1">
        <v>0</v>
      </c>
      <c r="P621" s="1">
        <v>1</v>
      </c>
      <c r="Q621" s="3"/>
      <c r="R621" s="3"/>
      <c r="S621" s="3">
        <v>125000</v>
      </c>
      <c r="T621" s="1">
        <v>1.5068490000000001</v>
      </c>
      <c r="U621" s="3"/>
      <c r="V621" s="3"/>
      <c r="X621" s="1">
        <v>125000</v>
      </c>
      <c r="Y621" s="22">
        <v>1.5068490000000001</v>
      </c>
      <c r="Z621" s="4">
        <f>Table1[[#This Row],[totalTimeKept]]*$AD$3</f>
        <v>22602.735000000001</v>
      </c>
      <c r="AA621" s="4">
        <f>Y621-Z621</f>
        <v>-22601.228150999999</v>
      </c>
    </row>
    <row r="622" spans="1:27" x14ac:dyDescent="0.3">
      <c r="A622" s="1">
        <v>10456469</v>
      </c>
      <c r="B622" s="1" t="s">
        <v>1001</v>
      </c>
      <c r="C622" s="1" t="s">
        <v>221</v>
      </c>
      <c r="D622" s="1">
        <v>7972884</v>
      </c>
      <c r="E622" s="1">
        <v>0</v>
      </c>
      <c r="F622" s="1" t="s">
        <v>25</v>
      </c>
      <c r="G622" s="1" t="s">
        <v>46</v>
      </c>
      <c r="H622" s="2">
        <v>43215</v>
      </c>
      <c r="I622" s="2" t="s">
        <v>25</v>
      </c>
      <c r="J622" s="2">
        <v>43724</v>
      </c>
      <c r="K622" s="3"/>
      <c r="L622" s="3">
        <v>45000</v>
      </c>
      <c r="M622" s="3">
        <v>45000</v>
      </c>
      <c r="N622" s="1">
        <v>1</v>
      </c>
      <c r="O622" s="1">
        <v>0</v>
      </c>
      <c r="P622" s="1">
        <v>1</v>
      </c>
      <c r="Q622" s="3"/>
      <c r="R622" s="3"/>
      <c r="S622" s="3">
        <v>45000</v>
      </c>
      <c r="T622" s="1">
        <v>1.3945209999999999</v>
      </c>
      <c r="U622" s="3"/>
      <c r="V622" s="3"/>
      <c r="X622" s="1">
        <v>45000</v>
      </c>
      <c r="Y622" s="22">
        <v>1.3945209999999999</v>
      </c>
      <c r="Z622" s="4">
        <f>Table1[[#This Row],[totalTimeKept]]*$AD$3</f>
        <v>20917.814999999999</v>
      </c>
      <c r="AA622" s="4">
        <f>Y622-Z622</f>
        <v>-20916.420479</v>
      </c>
    </row>
    <row r="623" spans="1:27" x14ac:dyDescent="0.3">
      <c r="A623" s="1">
        <v>10456470</v>
      </c>
      <c r="B623" s="1" t="s">
        <v>1002</v>
      </c>
      <c r="C623" s="1" t="s">
        <v>133</v>
      </c>
      <c r="D623" s="1">
        <v>7128556</v>
      </c>
      <c r="E623" s="1">
        <v>7525</v>
      </c>
      <c r="F623" s="1" t="s">
        <v>25</v>
      </c>
      <c r="G623" s="1" t="s">
        <v>24</v>
      </c>
      <c r="H623" s="2">
        <v>43216</v>
      </c>
      <c r="I623" s="2" t="s">
        <v>25</v>
      </c>
      <c r="J623" s="2">
        <v>44935</v>
      </c>
      <c r="K623" s="3"/>
      <c r="L623" s="3">
        <v>80000</v>
      </c>
      <c r="M623" s="3">
        <v>80000</v>
      </c>
      <c r="N623" s="1">
        <v>1</v>
      </c>
      <c r="O623" s="1">
        <v>0</v>
      </c>
      <c r="P623" s="1">
        <v>1</v>
      </c>
      <c r="Q623" s="3">
        <v>100000</v>
      </c>
      <c r="R623" s="3"/>
      <c r="S623" s="3">
        <v>-12475</v>
      </c>
      <c r="T623" s="1">
        <v>4.7095890000000002</v>
      </c>
      <c r="U623" s="3"/>
      <c r="V623" s="3"/>
      <c r="X623" s="1">
        <v>-12475</v>
      </c>
      <c r="Y623" s="22">
        <v>4.7095890000000002</v>
      </c>
      <c r="Z623" s="4">
        <f>Table1[[#This Row],[totalTimeKept]]*$AD$3</f>
        <v>70643.835000000006</v>
      </c>
      <c r="AA623" s="4">
        <f>Y623-Z623</f>
        <v>-70639.125411000001</v>
      </c>
    </row>
    <row r="624" spans="1:27" x14ac:dyDescent="0.3">
      <c r="A624" s="1">
        <v>10456473</v>
      </c>
      <c r="B624" s="1" t="s">
        <v>1003</v>
      </c>
      <c r="C624" s="1" t="s">
        <v>424</v>
      </c>
      <c r="D624" s="1">
        <v>9103805</v>
      </c>
      <c r="E624" s="1">
        <v>0</v>
      </c>
      <c r="F624" s="1" t="s">
        <v>25</v>
      </c>
      <c r="G624" s="1" t="s">
        <v>46</v>
      </c>
      <c r="H624" s="2">
        <v>43220</v>
      </c>
      <c r="I624" s="1" t="s">
        <v>25</v>
      </c>
      <c r="J624" s="2">
        <v>43717</v>
      </c>
      <c r="K624" s="3"/>
      <c r="L624" s="3">
        <v>575000</v>
      </c>
      <c r="M624" s="3">
        <v>575000</v>
      </c>
      <c r="N624" s="1">
        <v>1</v>
      </c>
      <c r="O624" s="1">
        <v>0</v>
      </c>
      <c r="P624" s="1">
        <v>1</v>
      </c>
      <c r="Q624" s="3"/>
      <c r="R624" s="3"/>
      <c r="S624" s="3">
        <v>575000</v>
      </c>
      <c r="T624" s="1">
        <v>1.3616440000000001</v>
      </c>
      <c r="U624" s="3"/>
      <c r="V624" s="3"/>
      <c r="X624" s="1">
        <v>575000</v>
      </c>
      <c r="Y624" s="22">
        <v>1.3616440000000001</v>
      </c>
      <c r="Z624" s="4">
        <f>Table1[[#This Row],[totalTimeKept]]*$AD$3</f>
        <v>20424.66</v>
      </c>
      <c r="AA624" s="4">
        <f>Y624-Z624</f>
        <v>-20423.298355999999</v>
      </c>
    </row>
    <row r="625" spans="1:27" x14ac:dyDescent="0.3">
      <c r="A625" s="1">
        <v>10456474</v>
      </c>
      <c r="B625" s="1" t="s">
        <v>1004</v>
      </c>
      <c r="C625" s="1" t="s">
        <v>73</v>
      </c>
      <c r="D625" s="1">
        <v>5326184</v>
      </c>
      <c r="E625" s="1">
        <v>0</v>
      </c>
      <c r="F625" s="1" t="s">
        <v>25</v>
      </c>
      <c r="G625" s="1" t="s">
        <v>46</v>
      </c>
      <c r="H625" s="2">
        <v>43228</v>
      </c>
      <c r="I625" s="2" t="s">
        <v>25</v>
      </c>
      <c r="J625" s="2">
        <v>43762</v>
      </c>
      <c r="K625" s="3"/>
      <c r="L625" s="3">
        <v>155000</v>
      </c>
      <c r="M625" s="3">
        <v>155000</v>
      </c>
      <c r="N625" s="1">
        <v>1</v>
      </c>
      <c r="O625" s="1">
        <v>0</v>
      </c>
      <c r="P625" s="1">
        <v>1</v>
      </c>
      <c r="Q625" s="3"/>
      <c r="R625" s="3"/>
      <c r="S625" s="3">
        <v>155000</v>
      </c>
      <c r="T625" s="1">
        <v>1.463014</v>
      </c>
      <c r="U625" s="3"/>
      <c r="V625" s="3"/>
      <c r="X625" s="1">
        <v>155000</v>
      </c>
      <c r="Y625" s="22">
        <v>1.463014</v>
      </c>
      <c r="Z625" s="4">
        <f>Table1[[#This Row],[totalTimeKept]]*$AD$3</f>
        <v>21945.21</v>
      </c>
      <c r="AA625" s="4">
        <f>Y625-Z625</f>
        <v>-21943.746985999998</v>
      </c>
    </row>
    <row r="626" spans="1:27" x14ac:dyDescent="0.3">
      <c r="A626" s="1">
        <v>10456475</v>
      </c>
      <c r="B626" s="1" t="s">
        <v>1005</v>
      </c>
      <c r="C626" s="1" t="s">
        <v>315</v>
      </c>
      <c r="D626" s="1">
        <v>8603820</v>
      </c>
      <c r="E626" s="1">
        <v>0</v>
      </c>
      <c r="F626" s="1" t="s">
        <v>25</v>
      </c>
      <c r="G626" s="1" t="s">
        <v>349</v>
      </c>
      <c r="H626" s="2">
        <v>43229</v>
      </c>
      <c r="I626" s="2" t="s">
        <v>25</v>
      </c>
      <c r="J626" s="2">
        <v>43414</v>
      </c>
      <c r="K626" s="3"/>
      <c r="L626" s="3">
        <v>13000</v>
      </c>
      <c r="M626" s="3">
        <v>13000</v>
      </c>
      <c r="N626" s="1">
        <v>1</v>
      </c>
      <c r="O626" s="1">
        <v>0</v>
      </c>
      <c r="P626" s="1">
        <v>1</v>
      </c>
      <c r="Q626" s="3"/>
      <c r="R626" s="3"/>
      <c r="S626" s="3">
        <v>13000</v>
      </c>
      <c r="T626" s="1">
        <v>0.50684929999999995</v>
      </c>
      <c r="U626" s="3"/>
      <c r="V626" s="3"/>
      <c r="X626" s="1">
        <v>13000</v>
      </c>
      <c r="Y626" s="22">
        <v>0.50684929999999995</v>
      </c>
      <c r="Z626" s="4">
        <f>Table1[[#This Row],[totalTimeKept]]*$AD$3</f>
        <v>7602.7394999999988</v>
      </c>
      <c r="AA626" s="4">
        <f>Y626-Z626</f>
        <v>-7602.2326506999989</v>
      </c>
    </row>
    <row r="627" spans="1:27" x14ac:dyDescent="0.3">
      <c r="A627" s="1">
        <v>10458607</v>
      </c>
      <c r="B627" s="1" t="s">
        <v>1006</v>
      </c>
      <c r="C627" s="1" t="s">
        <v>40</v>
      </c>
      <c r="D627" s="1">
        <v>4297755</v>
      </c>
      <c r="E627" s="1">
        <v>64350</v>
      </c>
      <c r="F627" s="1" t="s">
        <v>46</v>
      </c>
      <c r="G627" s="1" t="s">
        <v>46</v>
      </c>
      <c r="H627" s="2">
        <v>43217</v>
      </c>
      <c r="I627" s="2">
        <v>43720</v>
      </c>
      <c r="J627" s="2">
        <v>43720</v>
      </c>
      <c r="K627" s="3">
        <v>140000</v>
      </c>
      <c r="L627" s="3">
        <v>140000</v>
      </c>
      <c r="M627" s="3">
        <v>410000</v>
      </c>
      <c r="N627" s="1">
        <v>1</v>
      </c>
      <c r="O627" s="1">
        <v>1</v>
      </c>
      <c r="P627" s="1">
        <v>1</v>
      </c>
      <c r="Q627" s="3"/>
      <c r="R627" s="3"/>
      <c r="S627" s="3">
        <v>474350</v>
      </c>
      <c r="T627" s="1">
        <v>1.378082</v>
      </c>
      <c r="U627" s="3"/>
      <c r="V627" s="3"/>
      <c r="X627" s="1">
        <v>474350</v>
      </c>
      <c r="Y627" s="22">
        <v>1.378082</v>
      </c>
      <c r="Z627" s="4">
        <f>Table1[[#This Row],[totalTimeKept]]*$AD$3</f>
        <v>20671.23</v>
      </c>
      <c r="AA627" s="4">
        <f>Y627-Z627</f>
        <v>-20669.851918</v>
      </c>
    </row>
    <row r="628" spans="1:27" x14ac:dyDescent="0.3">
      <c r="A628" s="1">
        <v>10460296</v>
      </c>
      <c r="B628" s="1" t="s">
        <v>1007</v>
      </c>
      <c r="C628" s="1" t="s">
        <v>1008</v>
      </c>
      <c r="D628" s="1">
        <v>8011046</v>
      </c>
      <c r="E628" s="1">
        <v>70600</v>
      </c>
      <c r="F628" s="1" t="s">
        <v>46</v>
      </c>
      <c r="G628" s="1" t="s">
        <v>846</v>
      </c>
      <c r="H628" s="2">
        <v>43244</v>
      </c>
      <c r="I628" s="2">
        <v>43721</v>
      </c>
      <c r="J628" s="2">
        <v>44519</v>
      </c>
      <c r="K628" s="3">
        <v>650000</v>
      </c>
      <c r="L628" s="3">
        <v>100000</v>
      </c>
      <c r="M628" s="3">
        <v>-550000</v>
      </c>
      <c r="N628" s="1">
        <v>0</v>
      </c>
      <c r="O628" s="1">
        <v>1</v>
      </c>
      <c r="P628" s="1">
        <v>1</v>
      </c>
      <c r="Q628" s="3"/>
      <c r="R628" s="3"/>
      <c r="S628" s="3">
        <v>-479400</v>
      </c>
      <c r="T628" s="1">
        <v>2.1863009999999998</v>
      </c>
      <c r="U628" s="3"/>
      <c r="V628" s="3"/>
      <c r="X628" s="1">
        <v>-479400</v>
      </c>
      <c r="Y628" s="22">
        <v>2.1863009999999998</v>
      </c>
      <c r="Z628" s="4">
        <f>Table1[[#This Row],[totalTimeKept]]*$AD$3</f>
        <v>32794.514999999999</v>
      </c>
      <c r="AA628" s="4">
        <f>Y628-Z628</f>
        <v>-32792.328698999998</v>
      </c>
    </row>
    <row r="629" spans="1:27" x14ac:dyDescent="0.3">
      <c r="A629" s="1">
        <v>10461315</v>
      </c>
      <c r="B629" s="1" t="s">
        <v>1009</v>
      </c>
      <c r="C629" s="1" t="s">
        <v>1010</v>
      </c>
      <c r="D629" s="1">
        <v>7396467</v>
      </c>
      <c r="E629" s="1">
        <v>0</v>
      </c>
      <c r="F629" s="1" t="s">
        <v>139</v>
      </c>
      <c r="G629" s="1" t="s">
        <v>25</v>
      </c>
      <c r="H629" s="2">
        <v>43216</v>
      </c>
      <c r="I629" s="2">
        <v>45239</v>
      </c>
      <c r="J629" s="1" t="s">
        <v>25</v>
      </c>
      <c r="K629" s="3">
        <v>55000</v>
      </c>
      <c r="L629" s="3"/>
      <c r="M629" s="3">
        <v>-55000</v>
      </c>
      <c r="N629" s="1">
        <v>0</v>
      </c>
      <c r="O629" s="1">
        <v>1</v>
      </c>
      <c r="P629" s="1">
        <v>0</v>
      </c>
      <c r="Q629" s="3"/>
      <c r="R629" s="3"/>
      <c r="S629" s="3">
        <v>-55000</v>
      </c>
      <c r="T629" s="1">
        <v>1.2767120000000001</v>
      </c>
      <c r="U629" s="3"/>
      <c r="V629" s="3"/>
      <c r="X629" s="1">
        <v>-55000</v>
      </c>
      <c r="Y629" s="22">
        <v>1.2767120000000001</v>
      </c>
      <c r="Z629" s="4">
        <f>Table1[[#This Row],[totalTimeKept]]*$AD$3</f>
        <v>19150.68</v>
      </c>
      <c r="AA629" s="4">
        <f>Y629-Z629</f>
        <v>-19149.403288000001</v>
      </c>
    </row>
    <row r="630" spans="1:27" x14ac:dyDescent="0.3">
      <c r="A630" s="1">
        <v>10467740</v>
      </c>
      <c r="B630" s="1" t="s">
        <v>1011</v>
      </c>
      <c r="C630" s="1" t="s">
        <v>1012</v>
      </c>
      <c r="D630" s="1">
        <v>8272042</v>
      </c>
      <c r="E630" s="1">
        <v>0</v>
      </c>
      <c r="F630" s="1" t="s">
        <v>139</v>
      </c>
      <c r="G630" s="1" t="s">
        <v>24</v>
      </c>
      <c r="H630" s="2">
        <v>43176</v>
      </c>
      <c r="I630" s="2">
        <v>45238</v>
      </c>
      <c r="J630" s="2">
        <v>45600</v>
      </c>
      <c r="K630" s="3">
        <v>250000</v>
      </c>
      <c r="L630" s="3">
        <v>500000</v>
      </c>
      <c r="M630" s="3">
        <v>250000</v>
      </c>
      <c r="N630" s="1">
        <v>0</v>
      </c>
      <c r="O630" s="1">
        <v>1</v>
      </c>
      <c r="P630" s="1">
        <v>1</v>
      </c>
      <c r="Q630" s="3"/>
      <c r="R630" s="3"/>
      <c r="S630" s="3">
        <v>250000</v>
      </c>
      <c r="T630" s="1">
        <v>0.99178080000000002</v>
      </c>
      <c r="U630" s="3"/>
      <c r="V630" s="3"/>
      <c r="X630" s="1">
        <v>250000</v>
      </c>
      <c r="Y630" s="22">
        <v>0.99178080000000002</v>
      </c>
      <c r="Z630" s="4">
        <f>Table1[[#This Row],[totalTimeKept]]*$AD$3</f>
        <v>14876.712</v>
      </c>
      <c r="AA630" s="4">
        <f>Y630-Z630</f>
        <v>-14875.7202192</v>
      </c>
    </row>
    <row r="631" spans="1:27" x14ac:dyDescent="0.3">
      <c r="A631" s="1">
        <v>10471765</v>
      </c>
      <c r="B631" s="1" t="s">
        <v>1013</v>
      </c>
      <c r="C631" s="1" t="s">
        <v>1014</v>
      </c>
      <c r="D631" s="1">
        <v>9318713</v>
      </c>
      <c r="E631" s="1">
        <v>0</v>
      </c>
      <c r="F631" s="1" t="s">
        <v>24</v>
      </c>
      <c r="G631" s="1" t="s">
        <v>25</v>
      </c>
      <c r="H631" s="2">
        <v>43138</v>
      </c>
      <c r="I631" s="2">
        <v>45237</v>
      </c>
      <c r="J631" s="1" t="s">
        <v>25</v>
      </c>
      <c r="K631" s="3">
        <v>290000</v>
      </c>
      <c r="L631" s="3"/>
      <c r="M631" s="3">
        <v>-290000</v>
      </c>
      <c r="N631" s="1">
        <v>0</v>
      </c>
      <c r="O631" s="1">
        <v>1</v>
      </c>
      <c r="P631" s="1">
        <v>0</v>
      </c>
      <c r="Q631" s="3">
        <v>0</v>
      </c>
      <c r="R631" s="3"/>
      <c r="S631" s="3">
        <v>-290000</v>
      </c>
      <c r="T631" s="1">
        <v>1.282192</v>
      </c>
      <c r="U631" s="3"/>
      <c r="V631" s="3"/>
      <c r="X631" s="1">
        <v>-290000</v>
      </c>
      <c r="Y631" s="22">
        <v>1.282192</v>
      </c>
      <c r="Z631" s="4">
        <f>Table1[[#This Row],[totalTimeKept]]*$AD$3</f>
        <v>19232.88</v>
      </c>
      <c r="AA631" s="4">
        <f>Y631-Z631</f>
        <v>-19231.597808000002</v>
      </c>
    </row>
    <row r="632" spans="1:27" x14ac:dyDescent="0.3">
      <c r="A632" s="1">
        <v>10475914</v>
      </c>
      <c r="B632" s="1" t="s">
        <v>1015</v>
      </c>
      <c r="C632" s="1" t="s">
        <v>1016</v>
      </c>
      <c r="D632" s="1">
        <v>6910725</v>
      </c>
      <c r="E632" s="1">
        <v>0</v>
      </c>
      <c r="F632" s="1" t="s">
        <v>139</v>
      </c>
      <c r="G632" s="1" t="s">
        <v>25</v>
      </c>
      <c r="H632" s="2">
        <v>43196</v>
      </c>
      <c r="I632" s="2">
        <v>45300</v>
      </c>
      <c r="J632" s="2" t="s">
        <v>25</v>
      </c>
      <c r="K632" s="3">
        <v>130000</v>
      </c>
      <c r="L632" s="3"/>
      <c r="M632" s="3">
        <v>-130000</v>
      </c>
      <c r="N632" s="1">
        <v>0</v>
      </c>
      <c r="O632" s="1">
        <v>1</v>
      </c>
      <c r="P632" s="1">
        <v>0</v>
      </c>
      <c r="Q632" s="3">
        <v>200000</v>
      </c>
      <c r="R632" s="3"/>
      <c r="S632" s="3">
        <v>-330000</v>
      </c>
      <c r="T632" s="1">
        <v>1.1095889999999999</v>
      </c>
      <c r="U632" s="3"/>
      <c r="V632" s="3"/>
      <c r="X632" s="1">
        <v>-330000</v>
      </c>
      <c r="Y632" s="22">
        <v>1.1095889999999999</v>
      </c>
      <c r="Z632" s="4">
        <f>Table1[[#This Row],[totalTimeKept]]*$AD$3</f>
        <v>16643.834999999999</v>
      </c>
      <c r="AA632" s="4">
        <f>Y632-Z632</f>
        <v>-16642.725410999999</v>
      </c>
    </row>
    <row r="633" spans="1:27" x14ac:dyDescent="0.3">
      <c r="A633" s="1">
        <v>10478962</v>
      </c>
      <c r="B633" s="1" t="s">
        <v>1017</v>
      </c>
      <c r="C633" s="1" t="s">
        <v>502</v>
      </c>
      <c r="D633" s="1">
        <v>4026221</v>
      </c>
      <c r="E633" s="1">
        <v>0</v>
      </c>
      <c r="F633" s="1" t="s">
        <v>25</v>
      </c>
      <c r="G633" s="1" t="s">
        <v>46</v>
      </c>
      <c r="H633" s="2">
        <v>43224</v>
      </c>
      <c r="I633" s="2" t="s">
        <v>25</v>
      </c>
      <c r="J633" s="2">
        <v>43723</v>
      </c>
      <c r="K633" s="3"/>
      <c r="L633" s="3">
        <v>82000</v>
      </c>
      <c r="M633" s="3">
        <v>82000</v>
      </c>
      <c r="N633" s="1">
        <v>1</v>
      </c>
      <c r="O633" s="1">
        <v>0</v>
      </c>
      <c r="P633" s="1">
        <v>1</v>
      </c>
      <c r="Q633" s="3"/>
      <c r="R633" s="3"/>
      <c r="S633" s="3">
        <v>82000</v>
      </c>
      <c r="T633" s="1">
        <v>1.3671230000000001</v>
      </c>
      <c r="U633" s="3"/>
      <c r="V633" s="3"/>
      <c r="X633" s="1">
        <v>82000</v>
      </c>
      <c r="Y633" s="22">
        <v>1.3671230000000001</v>
      </c>
      <c r="Z633" s="4">
        <f>Table1[[#This Row],[totalTimeKept]]*$AD$3</f>
        <v>20506.845000000001</v>
      </c>
      <c r="AA633" s="4">
        <f>Y633-Z633</f>
        <v>-20505.477877000001</v>
      </c>
    </row>
    <row r="634" spans="1:27" x14ac:dyDescent="0.3">
      <c r="A634" s="1">
        <v>10478972</v>
      </c>
      <c r="B634" s="1" t="s">
        <v>1018</v>
      </c>
      <c r="C634" s="1" t="s">
        <v>1019</v>
      </c>
      <c r="D634" s="1">
        <v>8587309</v>
      </c>
      <c r="E634" s="1">
        <v>0</v>
      </c>
      <c r="F634" s="1" t="s">
        <v>25</v>
      </c>
      <c r="G634" s="1" t="s">
        <v>46</v>
      </c>
      <c r="H634" s="2">
        <v>43190</v>
      </c>
      <c r="I634" s="2" t="s">
        <v>25</v>
      </c>
      <c r="J634" s="2">
        <v>43761</v>
      </c>
      <c r="K634" s="3"/>
      <c r="L634" s="3">
        <v>25000</v>
      </c>
      <c r="M634" s="3">
        <v>25000</v>
      </c>
      <c r="N634" s="1">
        <v>1</v>
      </c>
      <c r="O634" s="1">
        <v>0</v>
      </c>
      <c r="P634" s="1">
        <v>1</v>
      </c>
      <c r="Q634" s="3"/>
      <c r="R634" s="3"/>
      <c r="S634" s="3">
        <v>25000</v>
      </c>
      <c r="T634" s="1">
        <v>1.564384</v>
      </c>
      <c r="U634" s="3"/>
      <c r="V634" s="3"/>
      <c r="X634" s="1">
        <v>25000</v>
      </c>
      <c r="Y634" s="22">
        <v>1.564384</v>
      </c>
      <c r="Z634" s="4">
        <f>Table1[[#This Row],[totalTimeKept]]*$AD$3</f>
        <v>23465.759999999998</v>
      </c>
      <c r="AA634" s="4">
        <f>Y634-Z634</f>
        <v>-23464.195615999997</v>
      </c>
    </row>
    <row r="635" spans="1:27" x14ac:dyDescent="0.3">
      <c r="A635" s="1">
        <v>10479612</v>
      </c>
      <c r="B635" s="1" t="s">
        <v>1020</v>
      </c>
      <c r="C635" s="1" t="s">
        <v>191</v>
      </c>
      <c r="D635" s="1">
        <v>7704649</v>
      </c>
      <c r="E635" s="1">
        <v>0</v>
      </c>
      <c r="F635" s="1" t="s">
        <v>25</v>
      </c>
      <c r="G635" s="1" t="s">
        <v>46</v>
      </c>
      <c r="H635" s="2">
        <v>43180</v>
      </c>
      <c r="I635" s="1" t="s">
        <v>25</v>
      </c>
      <c r="J635" s="2">
        <v>43760</v>
      </c>
      <c r="K635" s="3"/>
      <c r="L635" s="3">
        <v>15000</v>
      </c>
      <c r="M635" s="3">
        <v>15000</v>
      </c>
      <c r="N635" s="1">
        <v>1</v>
      </c>
      <c r="O635" s="1">
        <v>0</v>
      </c>
      <c r="P635" s="1">
        <v>1</v>
      </c>
      <c r="Q635" s="3"/>
      <c r="R635" s="3"/>
      <c r="S635" s="3">
        <v>15000</v>
      </c>
      <c r="T635" s="1">
        <v>1.5890409999999999</v>
      </c>
      <c r="U635" s="3"/>
      <c r="V635" s="3"/>
      <c r="X635" s="1">
        <v>15000</v>
      </c>
      <c r="Y635" s="22">
        <v>1.5890409999999999</v>
      </c>
      <c r="Z635" s="4">
        <f>Table1[[#This Row],[totalTimeKept]]*$AD$3</f>
        <v>23835.614999999998</v>
      </c>
      <c r="AA635" s="4">
        <f>Y635-Z635</f>
        <v>-23834.025958999999</v>
      </c>
    </row>
    <row r="636" spans="1:27" x14ac:dyDescent="0.3">
      <c r="A636" s="1">
        <v>10481746</v>
      </c>
      <c r="B636" s="1" t="s">
        <v>1021</v>
      </c>
      <c r="C636" s="1" t="s">
        <v>1022</v>
      </c>
      <c r="D636" s="1">
        <v>7464809</v>
      </c>
      <c r="E636" s="1">
        <v>91600</v>
      </c>
      <c r="F636" s="1" t="s">
        <v>46</v>
      </c>
      <c r="G636" s="1" t="s">
        <v>25</v>
      </c>
      <c r="H636" s="2">
        <v>43179</v>
      </c>
      <c r="I636" s="2">
        <v>43722</v>
      </c>
      <c r="J636" s="2" t="s">
        <v>25</v>
      </c>
      <c r="K636" s="3">
        <v>120000</v>
      </c>
      <c r="L636" s="3"/>
      <c r="M636" s="3">
        <v>-120000</v>
      </c>
      <c r="N636" s="1">
        <v>0</v>
      </c>
      <c r="O636" s="1">
        <v>1</v>
      </c>
      <c r="P636" s="1">
        <v>0</v>
      </c>
      <c r="Q636" s="3"/>
      <c r="R636" s="3"/>
      <c r="S636" s="3">
        <v>-28400</v>
      </c>
      <c r="T636" s="1">
        <v>5.4328770000000004</v>
      </c>
      <c r="U636" s="3"/>
      <c r="V636" s="3"/>
      <c r="X636" s="1">
        <v>-28400</v>
      </c>
      <c r="Y636" s="22">
        <v>5.4328770000000004</v>
      </c>
      <c r="Z636" s="4">
        <f>Table1[[#This Row],[totalTimeKept]]*$AD$3</f>
        <v>81493.154999999999</v>
      </c>
      <c r="AA636" s="4">
        <f>Y636-Z636</f>
        <v>-81487.722123</v>
      </c>
    </row>
    <row r="637" spans="1:27" x14ac:dyDescent="0.3">
      <c r="A637" s="1">
        <v>10485509</v>
      </c>
      <c r="B637" s="1" t="s">
        <v>1023</v>
      </c>
      <c r="C637" s="1" t="s">
        <v>248</v>
      </c>
      <c r="D637" s="1">
        <v>8089164</v>
      </c>
      <c r="E637" s="1">
        <v>0</v>
      </c>
      <c r="F637" s="1" t="s">
        <v>25</v>
      </c>
      <c r="G637" s="1" t="s">
        <v>46</v>
      </c>
      <c r="H637" s="2">
        <v>43212</v>
      </c>
      <c r="I637" s="2" t="s">
        <v>25</v>
      </c>
      <c r="J637" s="2">
        <v>43720</v>
      </c>
      <c r="K637" s="3"/>
      <c r="L637" s="3">
        <v>400000</v>
      </c>
      <c r="M637" s="3">
        <v>400000</v>
      </c>
      <c r="N637" s="1">
        <v>1</v>
      </c>
      <c r="O637" s="1">
        <v>0</v>
      </c>
      <c r="P637" s="1">
        <v>1</v>
      </c>
      <c r="Q637" s="3"/>
      <c r="R637" s="3"/>
      <c r="S637" s="3">
        <v>400000</v>
      </c>
      <c r="T637" s="1">
        <v>1.3917809999999999</v>
      </c>
      <c r="U637" s="3"/>
      <c r="V637" s="3"/>
      <c r="X637" s="1">
        <v>400000</v>
      </c>
      <c r="Y637" s="22">
        <v>1.3917809999999999</v>
      </c>
      <c r="Z637" s="4">
        <f>Table1[[#This Row],[totalTimeKept]]*$AD$3</f>
        <v>20876.715</v>
      </c>
      <c r="AA637" s="4">
        <f>Y637-Z637</f>
        <v>-20875.323219000002</v>
      </c>
    </row>
    <row r="638" spans="1:27" x14ac:dyDescent="0.3">
      <c r="A638" s="1">
        <v>10487522</v>
      </c>
      <c r="B638" s="1" t="s">
        <v>1024</v>
      </c>
      <c r="C638" s="1" t="s">
        <v>1025</v>
      </c>
      <c r="D638" s="1">
        <v>8547764</v>
      </c>
      <c r="E638" s="1">
        <v>144405</v>
      </c>
      <c r="F638" s="1" t="s">
        <v>46</v>
      </c>
      <c r="G638" s="1" t="s">
        <v>25</v>
      </c>
      <c r="H638" s="2">
        <v>43165</v>
      </c>
      <c r="I638" s="2">
        <v>43723</v>
      </c>
      <c r="J638" s="2" t="s">
        <v>25</v>
      </c>
      <c r="K638" s="3">
        <v>240000</v>
      </c>
      <c r="L638" s="3"/>
      <c r="M638" s="3">
        <v>-240000</v>
      </c>
      <c r="N638" s="1">
        <v>0</v>
      </c>
      <c r="O638" s="1">
        <v>1</v>
      </c>
      <c r="P638" s="1">
        <v>0</v>
      </c>
      <c r="Q638" s="3"/>
      <c r="R638" s="3"/>
      <c r="S638" s="3">
        <v>-95595</v>
      </c>
      <c r="T638" s="1">
        <v>5.4301370000000002</v>
      </c>
      <c r="U638" s="3"/>
      <c r="V638" s="3"/>
      <c r="X638" s="1">
        <v>-95595</v>
      </c>
      <c r="Y638" s="22">
        <v>5.4301370000000002</v>
      </c>
      <c r="Z638" s="4">
        <f>Table1[[#This Row],[totalTimeKept]]*$AD$3</f>
        <v>81452.055000000008</v>
      </c>
      <c r="AA638" s="4">
        <f>Y638-Z638</f>
        <v>-81446.624863000005</v>
      </c>
    </row>
    <row r="639" spans="1:27" x14ac:dyDescent="0.3">
      <c r="A639" s="1">
        <v>10517079</v>
      </c>
      <c r="B639" s="1" t="s">
        <v>1026</v>
      </c>
      <c r="C639" s="1" t="s">
        <v>1027</v>
      </c>
      <c r="D639" s="1">
        <v>7785503</v>
      </c>
      <c r="E639" s="1">
        <v>0</v>
      </c>
      <c r="F639" s="1" t="s">
        <v>24</v>
      </c>
      <c r="G639" s="1" t="s">
        <v>25</v>
      </c>
      <c r="H639" s="2">
        <v>43359</v>
      </c>
      <c r="I639" s="2">
        <v>45441</v>
      </c>
      <c r="J639" s="1" t="s">
        <v>25</v>
      </c>
      <c r="K639" s="3">
        <v>465467</v>
      </c>
      <c r="L639" s="3"/>
      <c r="M639" s="3">
        <v>-465467</v>
      </c>
      <c r="N639" s="1">
        <v>0</v>
      </c>
      <c r="O639" s="1">
        <v>1</v>
      </c>
      <c r="P639" s="1">
        <v>0</v>
      </c>
      <c r="Q639" s="3"/>
      <c r="R639" s="3"/>
      <c r="S639" s="3">
        <v>-465467</v>
      </c>
      <c r="T639" s="1">
        <v>0.72328760000000003</v>
      </c>
      <c r="U639" s="3"/>
      <c r="V639" s="3"/>
      <c r="X639" s="1">
        <v>-465467</v>
      </c>
      <c r="Y639" s="22">
        <v>0.72328760000000003</v>
      </c>
      <c r="Z639" s="4">
        <f>Table1[[#This Row],[totalTimeKept]]*$AD$3</f>
        <v>10849.314</v>
      </c>
      <c r="AA639" s="4">
        <f>Y639-Z639</f>
        <v>-10848.5907124</v>
      </c>
    </row>
    <row r="640" spans="1:27" x14ac:dyDescent="0.3">
      <c r="A640" s="1">
        <v>10580413</v>
      </c>
      <c r="B640" s="1" t="s">
        <v>1028</v>
      </c>
      <c r="C640" s="1" t="s">
        <v>1029</v>
      </c>
      <c r="D640" s="1">
        <v>9310568</v>
      </c>
      <c r="E640" s="1">
        <v>54232.5</v>
      </c>
      <c r="F640" s="1" t="s">
        <v>46</v>
      </c>
      <c r="G640" s="1" t="s">
        <v>25</v>
      </c>
      <c r="H640" s="2">
        <v>43507</v>
      </c>
      <c r="I640" s="2">
        <v>44084</v>
      </c>
      <c r="J640" s="2" t="s">
        <v>25</v>
      </c>
      <c r="K640" s="3">
        <v>180000</v>
      </c>
      <c r="L640" s="3"/>
      <c r="M640" s="3">
        <v>-180000</v>
      </c>
      <c r="N640" s="1">
        <v>0</v>
      </c>
      <c r="O640" s="1">
        <v>1</v>
      </c>
      <c r="P640" s="1">
        <v>0</v>
      </c>
      <c r="Q640" s="3"/>
      <c r="R640" s="3"/>
      <c r="S640" s="3">
        <v>-125767.5</v>
      </c>
      <c r="T640" s="1">
        <v>4.4410959999999999</v>
      </c>
      <c r="U640" s="3"/>
      <c r="V640" s="3"/>
      <c r="X640" s="1">
        <v>-125767.5</v>
      </c>
      <c r="Y640" s="22">
        <v>4.4410959999999999</v>
      </c>
      <c r="Z640" s="4">
        <f>Table1[[#This Row],[totalTimeKept]]*$AD$3</f>
        <v>66616.44</v>
      </c>
      <c r="AA640" s="4">
        <f>Y640-Z640</f>
        <v>-66611.998904000007</v>
      </c>
    </row>
    <row r="641" spans="1:27" x14ac:dyDescent="0.3">
      <c r="A641" s="1">
        <v>10580428</v>
      </c>
      <c r="B641" s="1" t="s">
        <v>1030</v>
      </c>
      <c r="C641" s="1" t="s">
        <v>1031</v>
      </c>
      <c r="D641" s="1">
        <v>9512513</v>
      </c>
      <c r="E641" s="1">
        <v>15000</v>
      </c>
      <c r="F641" s="1" t="s">
        <v>46</v>
      </c>
      <c r="G641" s="1" t="s">
        <v>846</v>
      </c>
      <c r="H641" s="2">
        <v>43513</v>
      </c>
      <c r="I641" s="2">
        <v>44088</v>
      </c>
      <c r="J641" s="2">
        <v>44753</v>
      </c>
      <c r="K641" s="3">
        <v>560000</v>
      </c>
      <c r="L641" s="3">
        <v>25000</v>
      </c>
      <c r="M641" s="3">
        <v>-535000</v>
      </c>
      <c r="N641" s="1">
        <v>0</v>
      </c>
      <c r="O641" s="1">
        <v>1</v>
      </c>
      <c r="P641" s="1">
        <v>1</v>
      </c>
      <c r="Q641" s="3"/>
      <c r="R641" s="3"/>
      <c r="S641" s="3">
        <v>-520000</v>
      </c>
      <c r="T641" s="1">
        <v>1.8219179999999999</v>
      </c>
      <c r="U641" s="3"/>
      <c r="V641" s="3"/>
      <c r="X641" s="1">
        <v>-520000</v>
      </c>
      <c r="Y641" s="22">
        <v>1.8219179999999999</v>
      </c>
      <c r="Z641" s="4">
        <f>Table1[[#This Row],[totalTimeKept]]*$AD$3</f>
        <v>27328.77</v>
      </c>
      <c r="AA641" s="4">
        <f>Y641-Z641</f>
        <v>-27326.948081999999</v>
      </c>
    </row>
    <row r="642" spans="1:27" x14ac:dyDescent="0.3">
      <c r="A642" s="1">
        <v>10582827</v>
      </c>
      <c r="B642" s="1" t="s">
        <v>1032</v>
      </c>
      <c r="C642" s="1" t="s">
        <v>1033</v>
      </c>
      <c r="D642" s="1">
        <v>9655257</v>
      </c>
      <c r="E642" s="1">
        <v>23850</v>
      </c>
      <c r="F642" s="1" t="s">
        <v>46</v>
      </c>
      <c r="G642" s="1" t="s">
        <v>25</v>
      </c>
      <c r="H642" s="2">
        <v>43501</v>
      </c>
      <c r="I642" s="2">
        <v>44089</v>
      </c>
      <c r="J642" s="1" t="s">
        <v>25</v>
      </c>
      <c r="K642" s="3">
        <v>330000</v>
      </c>
      <c r="L642" s="3"/>
      <c r="M642" s="3">
        <v>-330000</v>
      </c>
      <c r="N642" s="1">
        <v>0</v>
      </c>
      <c r="O642" s="1">
        <v>1</v>
      </c>
      <c r="P642" s="1">
        <v>0</v>
      </c>
      <c r="Q642" s="3"/>
      <c r="R642" s="3"/>
      <c r="S642" s="3">
        <v>-306150</v>
      </c>
      <c r="T642" s="1">
        <v>4.427397</v>
      </c>
      <c r="U642" s="3"/>
      <c r="V642" s="3"/>
      <c r="X642" s="1">
        <v>-306150</v>
      </c>
      <c r="Y642" s="22">
        <v>4.427397</v>
      </c>
      <c r="Z642" s="4">
        <f>Table1[[#This Row],[totalTimeKept]]*$AD$3</f>
        <v>66410.955000000002</v>
      </c>
      <c r="AA642" s="4">
        <f>Y642-Z642</f>
        <v>-66406.527602999995</v>
      </c>
    </row>
    <row r="643" spans="1:27" x14ac:dyDescent="0.3">
      <c r="A643" s="1">
        <v>10583146</v>
      </c>
      <c r="B643" s="1" t="s">
        <v>1034</v>
      </c>
      <c r="C643" s="1" t="s">
        <v>1035</v>
      </c>
      <c r="D643" s="1">
        <v>8303250</v>
      </c>
      <c r="E643" s="1">
        <v>552000</v>
      </c>
      <c r="F643" s="1" t="s">
        <v>46</v>
      </c>
      <c r="G643" s="1" t="s">
        <v>846</v>
      </c>
      <c r="H643" s="2">
        <v>43505</v>
      </c>
      <c r="I643" s="2">
        <v>44094</v>
      </c>
      <c r="J643" s="2">
        <v>44753</v>
      </c>
      <c r="K643" s="3">
        <v>125000</v>
      </c>
      <c r="L643" s="3">
        <v>325000</v>
      </c>
      <c r="M643" s="3">
        <v>200000</v>
      </c>
      <c r="N643" s="1">
        <v>0</v>
      </c>
      <c r="O643" s="1">
        <v>1</v>
      </c>
      <c r="P643" s="1">
        <v>1</v>
      </c>
      <c r="Q643" s="3"/>
      <c r="R643" s="3"/>
      <c r="S643" s="3">
        <v>752000</v>
      </c>
      <c r="T643" s="1">
        <v>1.8054790000000001</v>
      </c>
      <c r="U643" s="3"/>
      <c r="V643" s="3"/>
      <c r="X643" s="1">
        <v>752000</v>
      </c>
      <c r="Y643" s="22">
        <v>1.8054790000000001</v>
      </c>
      <c r="Z643" s="4">
        <f>Table1[[#This Row],[totalTimeKept]]*$AD$3</f>
        <v>27082.185000000001</v>
      </c>
      <c r="AA643" s="4">
        <f>Y643-Z643</f>
        <v>-27080.379521000003</v>
      </c>
    </row>
    <row r="644" spans="1:27" x14ac:dyDescent="0.3">
      <c r="A644" s="1">
        <v>10584320</v>
      </c>
      <c r="B644" s="1" t="s">
        <v>1036</v>
      </c>
      <c r="C644" s="1" t="s">
        <v>661</v>
      </c>
      <c r="D644" s="1">
        <v>9698673</v>
      </c>
      <c r="E644" s="1">
        <v>0</v>
      </c>
      <c r="F644" s="1" t="s">
        <v>25</v>
      </c>
      <c r="G644" s="1" t="s">
        <v>349</v>
      </c>
      <c r="H644" s="2">
        <v>43520</v>
      </c>
      <c r="I644" s="2" t="s">
        <v>25</v>
      </c>
      <c r="J644" s="2">
        <v>43753</v>
      </c>
      <c r="K644" s="3"/>
      <c r="L644" s="3">
        <v>35000</v>
      </c>
      <c r="M644" s="3">
        <v>35000</v>
      </c>
      <c r="N644" s="1">
        <v>1</v>
      </c>
      <c r="O644" s="1">
        <v>0</v>
      </c>
      <c r="P644" s="1">
        <v>1</v>
      </c>
      <c r="Q644" s="3"/>
      <c r="R644" s="3"/>
      <c r="S644" s="3">
        <v>35000</v>
      </c>
      <c r="T644" s="1">
        <v>0.63835609999999998</v>
      </c>
      <c r="U644" s="3"/>
      <c r="V644" s="3"/>
      <c r="X644" s="1">
        <v>35000</v>
      </c>
      <c r="Y644" s="22">
        <v>0.63835609999999998</v>
      </c>
      <c r="Z644" s="4">
        <f>Table1[[#This Row],[totalTimeKept]]*$AD$3</f>
        <v>9575.3415000000005</v>
      </c>
      <c r="AA644" s="4">
        <f>Y644-Z644</f>
        <v>-9574.7031439000002</v>
      </c>
    </row>
    <row r="645" spans="1:27" x14ac:dyDescent="0.3">
      <c r="A645" s="1">
        <v>10585039</v>
      </c>
      <c r="B645" s="1" t="s">
        <v>1037</v>
      </c>
      <c r="C645" s="1" t="s">
        <v>1038</v>
      </c>
      <c r="D645" s="1">
        <v>9133686</v>
      </c>
      <c r="E645" s="1">
        <v>164326</v>
      </c>
      <c r="F645" s="1" t="s">
        <v>46</v>
      </c>
      <c r="G645" s="1" t="s">
        <v>846</v>
      </c>
      <c r="H645" s="2">
        <v>43516</v>
      </c>
      <c r="I645" s="2">
        <v>44090</v>
      </c>
      <c r="J645" s="2">
        <v>45247</v>
      </c>
      <c r="K645" s="3">
        <v>300000</v>
      </c>
      <c r="L645" s="3">
        <v>150000</v>
      </c>
      <c r="M645" s="3">
        <v>-150000</v>
      </c>
      <c r="N645" s="1">
        <v>0</v>
      </c>
      <c r="O645" s="1">
        <v>1</v>
      </c>
      <c r="P645" s="1">
        <v>1</v>
      </c>
      <c r="Q645" s="3"/>
      <c r="R645" s="3"/>
      <c r="S645" s="3">
        <v>14326</v>
      </c>
      <c r="T645" s="1">
        <v>3.1698629999999999</v>
      </c>
      <c r="U645" s="3"/>
      <c r="V645" s="3"/>
      <c r="X645" s="1">
        <v>14326</v>
      </c>
      <c r="Y645" s="22">
        <v>3.1698629999999999</v>
      </c>
      <c r="Z645" s="4">
        <f>Table1[[#This Row],[totalTimeKept]]*$AD$3</f>
        <v>47547.945</v>
      </c>
      <c r="AA645" s="4">
        <f>Y645-Z645</f>
        <v>-47544.775136999997</v>
      </c>
    </row>
    <row r="646" spans="1:27" x14ac:dyDescent="0.3">
      <c r="A646" s="1">
        <v>10589245</v>
      </c>
      <c r="B646" s="1" t="s">
        <v>1039</v>
      </c>
      <c r="C646" s="1" t="s">
        <v>1040</v>
      </c>
      <c r="D646" s="1">
        <v>9308543</v>
      </c>
      <c r="E646" s="1">
        <v>66000</v>
      </c>
      <c r="F646" s="1" t="s">
        <v>46</v>
      </c>
      <c r="G646" s="1" t="s">
        <v>846</v>
      </c>
      <c r="H646" s="2">
        <v>43519</v>
      </c>
      <c r="I646" s="2">
        <v>44084</v>
      </c>
      <c r="J646" s="2">
        <v>44882</v>
      </c>
      <c r="K646" s="3">
        <v>800000</v>
      </c>
      <c r="L646" s="3">
        <v>105000</v>
      </c>
      <c r="M646" s="3">
        <v>-695000</v>
      </c>
      <c r="N646" s="1">
        <v>0</v>
      </c>
      <c r="O646" s="1">
        <v>1</v>
      </c>
      <c r="P646" s="1">
        <v>1</v>
      </c>
      <c r="Q646" s="3"/>
      <c r="R646" s="3"/>
      <c r="S646" s="3">
        <v>-629000</v>
      </c>
      <c r="T646" s="1">
        <v>2.1863009999999998</v>
      </c>
      <c r="U646" s="3"/>
      <c r="V646" s="3"/>
      <c r="X646" s="1">
        <v>-629000</v>
      </c>
      <c r="Y646" s="22">
        <v>2.1863009999999998</v>
      </c>
      <c r="Z646" s="4">
        <f>Table1[[#This Row],[totalTimeKept]]*$AD$3</f>
        <v>32794.514999999999</v>
      </c>
      <c r="AA646" s="4">
        <f>Y646-Z646</f>
        <v>-32792.328698999998</v>
      </c>
    </row>
    <row r="647" spans="1:27" x14ac:dyDescent="0.3">
      <c r="A647" s="1">
        <v>10590156</v>
      </c>
      <c r="B647" s="1" t="s">
        <v>1041</v>
      </c>
      <c r="C647" s="1" t="s">
        <v>1042</v>
      </c>
      <c r="D647" s="1">
        <v>8866379</v>
      </c>
      <c r="E647" s="1">
        <v>35300</v>
      </c>
      <c r="F647" s="1" t="s">
        <v>46</v>
      </c>
      <c r="G647" s="1" t="s">
        <v>846</v>
      </c>
      <c r="H647" s="2">
        <v>43504</v>
      </c>
      <c r="I647" s="2">
        <v>44090</v>
      </c>
      <c r="J647" s="2">
        <v>44831</v>
      </c>
      <c r="K647" s="3">
        <v>245000</v>
      </c>
      <c r="L647" s="3">
        <v>130000</v>
      </c>
      <c r="M647" s="3">
        <v>-115000</v>
      </c>
      <c r="N647" s="1">
        <v>0</v>
      </c>
      <c r="O647" s="1">
        <v>1</v>
      </c>
      <c r="P647" s="1">
        <v>1</v>
      </c>
      <c r="Q647" s="3"/>
      <c r="R647" s="3"/>
      <c r="S647" s="3">
        <v>-79700</v>
      </c>
      <c r="T647" s="1">
        <v>2.0301369999999999</v>
      </c>
      <c r="U647" s="3"/>
      <c r="V647" s="3"/>
      <c r="X647" s="1">
        <v>-79700</v>
      </c>
      <c r="Y647" s="22">
        <v>2.0301369999999999</v>
      </c>
      <c r="Z647" s="4">
        <f>Table1[[#This Row],[totalTimeKept]]*$AD$3</f>
        <v>30452.054999999997</v>
      </c>
      <c r="AA647" s="4">
        <f>Y647-Z647</f>
        <v>-30450.024862999995</v>
      </c>
    </row>
    <row r="648" spans="1:27" x14ac:dyDescent="0.3">
      <c r="A648" s="1">
        <v>10592732</v>
      </c>
      <c r="B648" s="1" t="s">
        <v>1043</v>
      </c>
      <c r="C648" s="1" t="s">
        <v>47</v>
      </c>
      <c r="D648" s="1">
        <v>4494884</v>
      </c>
      <c r="E648" s="1">
        <v>0</v>
      </c>
      <c r="F648" s="1" t="s">
        <v>25</v>
      </c>
      <c r="G648" s="1" t="s">
        <v>349</v>
      </c>
      <c r="H648" s="2">
        <v>43516</v>
      </c>
      <c r="I648" s="1" t="s">
        <v>25</v>
      </c>
      <c r="J648" s="2">
        <v>43776</v>
      </c>
      <c r="K648" s="3"/>
      <c r="L648" s="3">
        <v>125000</v>
      </c>
      <c r="M648" s="3">
        <v>125000</v>
      </c>
      <c r="N648" s="1">
        <v>1</v>
      </c>
      <c r="O648" s="1">
        <v>0</v>
      </c>
      <c r="P648" s="1">
        <v>1</v>
      </c>
      <c r="Q648" s="3"/>
      <c r="R648" s="3"/>
      <c r="S648" s="3">
        <v>125000</v>
      </c>
      <c r="T648" s="1">
        <v>0.71232879999999998</v>
      </c>
      <c r="U648" s="3"/>
      <c r="V648" s="3"/>
      <c r="X648" s="1">
        <v>125000</v>
      </c>
      <c r="Y648" s="22">
        <v>0.71232879999999998</v>
      </c>
      <c r="Z648" s="4">
        <f>Table1[[#This Row],[totalTimeKept]]*$AD$3</f>
        <v>10684.931999999999</v>
      </c>
      <c r="AA648" s="4">
        <f>Y648-Z648</f>
        <v>-10684.219671199999</v>
      </c>
    </row>
    <row r="649" spans="1:27" x14ac:dyDescent="0.3">
      <c r="A649" s="1">
        <v>10592892</v>
      </c>
      <c r="B649" s="1" t="s">
        <v>1044</v>
      </c>
      <c r="C649" s="1" t="s">
        <v>142</v>
      </c>
      <c r="D649" s="1">
        <v>7179569</v>
      </c>
      <c r="E649" s="1">
        <v>61320</v>
      </c>
      <c r="F649" s="1" t="s">
        <v>25</v>
      </c>
      <c r="G649" s="1" t="s">
        <v>25</v>
      </c>
      <c r="H649" s="2">
        <v>43510</v>
      </c>
      <c r="I649" s="1" t="s">
        <v>25</v>
      </c>
      <c r="J649" s="2" t="s">
        <v>25</v>
      </c>
      <c r="K649" s="3"/>
      <c r="L649" s="3"/>
      <c r="M649" s="3">
        <v>0</v>
      </c>
      <c r="N649" s="1">
        <v>1</v>
      </c>
      <c r="P649" s="1">
        <v>0</v>
      </c>
      <c r="Q649" s="3"/>
      <c r="R649" s="3"/>
      <c r="S649" s="3">
        <v>61320</v>
      </c>
      <c r="T649" s="1">
        <v>6.0136989999999999</v>
      </c>
      <c r="U649" s="3"/>
      <c r="V649" s="3"/>
      <c r="X649" s="1">
        <v>61320</v>
      </c>
      <c r="Y649" s="22">
        <v>6.0136989999999999</v>
      </c>
      <c r="Z649" s="4">
        <f>Table1[[#This Row],[totalTimeKept]]*$AD$3</f>
        <v>90205.485000000001</v>
      </c>
      <c r="AA649" s="4">
        <f>Y649-Z649</f>
        <v>-90199.471300999998</v>
      </c>
    </row>
    <row r="650" spans="1:27" x14ac:dyDescent="0.3">
      <c r="A650" s="1">
        <v>10592943</v>
      </c>
      <c r="B650" s="1" t="s">
        <v>1045</v>
      </c>
      <c r="C650" s="1" t="s">
        <v>938</v>
      </c>
      <c r="D650" s="1">
        <v>8076646</v>
      </c>
      <c r="E650" s="1">
        <v>0</v>
      </c>
      <c r="F650" s="1" t="s">
        <v>25</v>
      </c>
      <c r="G650" s="1" t="s">
        <v>349</v>
      </c>
      <c r="H650" s="2">
        <v>43524</v>
      </c>
      <c r="I650" s="2" t="s">
        <v>25</v>
      </c>
      <c r="J650" s="2">
        <v>43776</v>
      </c>
      <c r="K650" s="3"/>
      <c r="L650" s="3">
        <v>15000</v>
      </c>
      <c r="M650" s="3">
        <v>15000</v>
      </c>
      <c r="N650" s="1">
        <v>1</v>
      </c>
      <c r="O650" s="1">
        <v>0</v>
      </c>
      <c r="P650" s="1">
        <v>1</v>
      </c>
      <c r="Q650" s="3"/>
      <c r="R650" s="3"/>
      <c r="S650" s="3">
        <v>15000</v>
      </c>
      <c r="T650" s="1">
        <v>0.690411</v>
      </c>
      <c r="U650" s="3"/>
      <c r="V650" s="3"/>
      <c r="X650" s="3">
        <v>15000</v>
      </c>
      <c r="Y650" s="22">
        <v>0.690411</v>
      </c>
      <c r="Z650" s="4">
        <f>Table1[[#This Row],[totalTimeKept]]*$AD$3</f>
        <v>10356.164999999999</v>
      </c>
      <c r="AA650" s="4">
        <f>Y650-Z650</f>
        <v>-10355.474588999999</v>
      </c>
    </row>
    <row r="651" spans="1:27" x14ac:dyDescent="0.3">
      <c r="A651" s="1">
        <v>10592947</v>
      </c>
      <c r="B651" s="1" t="s">
        <v>1046</v>
      </c>
      <c r="C651" s="1" t="s">
        <v>1047</v>
      </c>
      <c r="D651" s="1">
        <v>7113636</v>
      </c>
      <c r="E651" s="1">
        <v>0</v>
      </c>
      <c r="F651" s="1" t="s">
        <v>25</v>
      </c>
      <c r="G651" s="1" t="s">
        <v>349</v>
      </c>
      <c r="H651" s="2">
        <v>43519</v>
      </c>
      <c r="I651" s="2" t="s">
        <v>25</v>
      </c>
      <c r="J651" s="2">
        <v>43780</v>
      </c>
      <c r="K651" s="3"/>
      <c r="L651" s="3">
        <v>3500</v>
      </c>
      <c r="M651" s="3">
        <v>3500</v>
      </c>
      <c r="N651" s="1">
        <v>1</v>
      </c>
      <c r="O651" s="1">
        <v>0</v>
      </c>
      <c r="P651" s="1">
        <v>1</v>
      </c>
      <c r="Q651" s="3"/>
      <c r="R651" s="3"/>
      <c r="S651" s="3">
        <v>3500</v>
      </c>
      <c r="T651" s="1">
        <v>0.7150685</v>
      </c>
      <c r="U651" s="3"/>
      <c r="V651" s="3"/>
      <c r="X651" s="1">
        <v>3500</v>
      </c>
      <c r="Y651" s="22">
        <v>0.7150685</v>
      </c>
      <c r="Z651" s="4">
        <f>Table1[[#This Row],[totalTimeKept]]*$AD$3</f>
        <v>10726.0275</v>
      </c>
      <c r="AA651" s="4">
        <f>Y651-Z651</f>
        <v>-10725.3124315</v>
      </c>
    </row>
    <row r="652" spans="1:27" x14ac:dyDescent="0.3">
      <c r="A652" s="1">
        <v>10592949</v>
      </c>
      <c r="B652" s="1" t="s">
        <v>1048</v>
      </c>
      <c r="C652" s="1" t="s">
        <v>105</v>
      </c>
      <c r="D652" s="1">
        <v>6532481</v>
      </c>
      <c r="E652" s="1">
        <v>0</v>
      </c>
      <c r="F652" s="1" t="s">
        <v>25</v>
      </c>
      <c r="G652" s="1" t="s">
        <v>46</v>
      </c>
      <c r="H652" s="2">
        <v>43523</v>
      </c>
      <c r="I652" s="2" t="s">
        <v>25</v>
      </c>
      <c r="J652" s="2">
        <v>44091</v>
      </c>
      <c r="K652" s="3"/>
      <c r="L652" s="3">
        <v>115000</v>
      </c>
      <c r="M652" s="3">
        <v>115000</v>
      </c>
      <c r="N652" s="1">
        <v>1</v>
      </c>
      <c r="O652" s="1">
        <v>0</v>
      </c>
      <c r="P652" s="1">
        <v>1</v>
      </c>
      <c r="Q652" s="3"/>
      <c r="R652" s="3"/>
      <c r="S652" s="3">
        <v>115000</v>
      </c>
      <c r="T652" s="1">
        <v>1.5561640000000001</v>
      </c>
      <c r="U652" s="3"/>
      <c r="V652" s="3"/>
      <c r="X652" s="1">
        <v>115000</v>
      </c>
      <c r="Y652" s="22">
        <v>1.5561640000000001</v>
      </c>
      <c r="Z652" s="4">
        <f>Table1[[#This Row],[totalTimeKept]]*$AD$3</f>
        <v>23342.460000000003</v>
      </c>
      <c r="AA652" s="4">
        <f>Y652-Z652</f>
        <v>-23340.903836000001</v>
      </c>
    </row>
    <row r="653" spans="1:27" x14ac:dyDescent="0.3">
      <c r="A653" s="1">
        <v>10592987</v>
      </c>
      <c r="B653" s="1" t="s">
        <v>1049</v>
      </c>
      <c r="C653" s="1" t="s">
        <v>1050</v>
      </c>
      <c r="D653" s="1">
        <v>8835963</v>
      </c>
      <c r="E653" s="1">
        <v>12400</v>
      </c>
      <c r="F653" s="1" t="s">
        <v>46</v>
      </c>
      <c r="G653" s="1" t="s">
        <v>846</v>
      </c>
      <c r="H653" s="2">
        <v>43534</v>
      </c>
      <c r="I653" s="2">
        <v>44087</v>
      </c>
      <c r="J653" s="2">
        <v>44680</v>
      </c>
      <c r="K653" s="3">
        <v>300000</v>
      </c>
      <c r="L653" s="3">
        <v>260000</v>
      </c>
      <c r="M653" s="3">
        <v>-40000</v>
      </c>
      <c r="N653" s="1">
        <v>0</v>
      </c>
      <c r="O653" s="1">
        <v>1</v>
      </c>
      <c r="P653" s="1">
        <v>1</v>
      </c>
      <c r="Q653" s="3"/>
      <c r="R653" s="3"/>
      <c r="S653" s="3">
        <v>-27600</v>
      </c>
      <c r="T653" s="1">
        <v>1.6246579999999999</v>
      </c>
      <c r="U653" s="3"/>
      <c r="V653" s="3"/>
      <c r="X653" s="1">
        <v>-27600</v>
      </c>
      <c r="Y653" s="22">
        <v>1.6246579999999999</v>
      </c>
      <c r="Z653" s="4">
        <f>Table1[[#This Row],[totalTimeKept]]*$AD$3</f>
        <v>24369.87</v>
      </c>
      <c r="AA653" s="4">
        <f>Y653-Z653</f>
        <v>-24368.245341999998</v>
      </c>
    </row>
    <row r="654" spans="1:27" x14ac:dyDescent="0.3">
      <c r="A654" s="1">
        <v>10593168</v>
      </c>
      <c r="B654" s="1" t="s">
        <v>1051</v>
      </c>
      <c r="C654" s="1" t="s">
        <v>1052</v>
      </c>
      <c r="D654" s="1">
        <v>8557465</v>
      </c>
      <c r="E654" s="1">
        <v>149000</v>
      </c>
      <c r="F654" s="1" t="s">
        <v>46</v>
      </c>
      <c r="G654" s="1" t="s">
        <v>846</v>
      </c>
      <c r="H654" s="2">
        <v>43535</v>
      </c>
      <c r="I654" s="2">
        <v>44087</v>
      </c>
      <c r="J654" s="2">
        <v>44753</v>
      </c>
      <c r="K654" s="3">
        <v>400000</v>
      </c>
      <c r="L654" s="3">
        <v>325000</v>
      </c>
      <c r="M654" s="3">
        <v>-75000</v>
      </c>
      <c r="N654" s="1">
        <v>0</v>
      </c>
      <c r="O654" s="1">
        <v>1</v>
      </c>
      <c r="P654" s="1">
        <v>1</v>
      </c>
      <c r="Q654" s="3"/>
      <c r="R654" s="3"/>
      <c r="S654" s="3">
        <v>74000</v>
      </c>
      <c r="T654" s="1">
        <v>1.8246579999999999</v>
      </c>
      <c r="U654" s="3"/>
      <c r="V654" s="3"/>
      <c r="X654" s="1">
        <v>74000</v>
      </c>
      <c r="Y654" s="22">
        <v>1.8246579999999999</v>
      </c>
      <c r="Z654" s="4">
        <f>Table1[[#This Row],[totalTimeKept]]*$AD$3</f>
        <v>27369.87</v>
      </c>
      <c r="AA654" s="4">
        <f>Y654-Z654</f>
        <v>-27368.045341999998</v>
      </c>
    </row>
    <row r="655" spans="1:27" x14ac:dyDescent="0.3">
      <c r="A655" s="1">
        <v>10594859</v>
      </c>
      <c r="B655" s="1" t="s">
        <v>1053</v>
      </c>
      <c r="C655" s="1" t="s">
        <v>1054</v>
      </c>
      <c r="D655" s="1">
        <v>7722564</v>
      </c>
      <c r="E655" s="1">
        <v>54150</v>
      </c>
      <c r="F655" s="1" t="s">
        <v>46</v>
      </c>
      <c r="G655" s="1" t="s">
        <v>25</v>
      </c>
      <c r="H655" s="2">
        <v>43540</v>
      </c>
      <c r="I655" s="2">
        <v>44088</v>
      </c>
      <c r="J655" s="1" t="s">
        <v>25</v>
      </c>
      <c r="K655" s="3">
        <v>400000</v>
      </c>
      <c r="L655" s="3"/>
      <c r="M655" s="3">
        <v>-400000</v>
      </c>
      <c r="N655" s="1">
        <v>0</v>
      </c>
      <c r="O655" s="1">
        <v>1</v>
      </c>
      <c r="P655" s="1">
        <v>0</v>
      </c>
      <c r="Q655" s="3"/>
      <c r="R655" s="3"/>
      <c r="S655" s="3">
        <v>-345850</v>
      </c>
      <c r="T655" s="1">
        <v>4.4301370000000002</v>
      </c>
      <c r="U655" s="3"/>
      <c r="V655" s="3"/>
      <c r="X655" s="1">
        <v>-345850</v>
      </c>
      <c r="Y655" s="22">
        <v>4.4301370000000002</v>
      </c>
      <c r="Z655" s="4">
        <f>Table1[[#This Row],[totalTimeKept]]*$AD$3</f>
        <v>66452.055000000008</v>
      </c>
      <c r="AA655" s="4">
        <f>Y655-Z655</f>
        <v>-66447.624863000005</v>
      </c>
    </row>
    <row r="656" spans="1:27" x14ac:dyDescent="0.3">
      <c r="A656" s="1">
        <v>10594886</v>
      </c>
      <c r="B656" s="1" t="s">
        <v>1055</v>
      </c>
      <c r="C656" s="1" t="s">
        <v>1056</v>
      </c>
      <c r="D656" s="1">
        <v>8604021</v>
      </c>
      <c r="E656" s="1">
        <v>54800</v>
      </c>
      <c r="F656" s="1" t="s">
        <v>46</v>
      </c>
      <c r="G656" s="1" t="s">
        <v>25</v>
      </c>
      <c r="H656" s="2">
        <v>43526</v>
      </c>
      <c r="I656" s="2">
        <v>44087</v>
      </c>
      <c r="J656" s="2" t="s">
        <v>25</v>
      </c>
      <c r="K656" s="3">
        <v>600000</v>
      </c>
      <c r="L656" s="3"/>
      <c r="M656" s="3">
        <v>-600000</v>
      </c>
      <c r="N656" s="1">
        <v>0</v>
      </c>
      <c r="O656" s="1">
        <v>1</v>
      </c>
      <c r="P656" s="1">
        <v>0</v>
      </c>
      <c r="Q656" s="3"/>
      <c r="R656" s="3"/>
      <c r="S656" s="3">
        <v>-545200</v>
      </c>
      <c r="T656" s="1">
        <v>4.4328770000000004</v>
      </c>
      <c r="U656" s="3"/>
      <c r="V656" s="3"/>
      <c r="X656" s="1">
        <v>-545200</v>
      </c>
      <c r="Y656" s="22">
        <v>4.4328770000000004</v>
      </c>
      <c r="Z656" s="4">
        <f>Table1[[#This Row],[totalTimeKept]]*$AD$3</f>
        <v>66493.154999999999</v>
      </c>
      <c r="AA656" s="4">
        <f>Y656-Z656</f>
        <v>-66488.722123</v>
      </c>
    </row>
    <row r="657" spans="1:27" x14ac:dyDescent="0.3">
      <c r="A657" s="1">
        <v>10596873</v>
      </c>
      <c r="B657" s="1" t="s">
        <v>1057</v>
      </c>
      <c r="C657" s="1" t="s">
        <v>1058</v>
      </c>
      <c r="D657" s="1">
        <v>8313272</v>
      </c>
      <c r="E657" s="1">
        <v>0</v>
      </c>
      <c r="F657" s="1" t="s">
        <v>46</v>
      </c>
      <c r="G657" s="1" t="s">
        <v>25</v>
      </c>
      <c r="H657" s="2">
        <v>43546</v>
      </c>
      <c r="I657" s="2">
        <v>44089</v>
      </c>
      <c r="J657" s="1" t="s">
        <v>25</v>
      </c>
      <c r="K657" s="3">
        <v>760000</v>
      </c>
      <c r="L657" s="3"/>
      <c r="M657" s="3">
        <v>-760000</v>
      </c>
      <c r="N657" s="1">
        <v>0</v>
      </c>
      <c r="O657" s="1">
        <v>1</v>
      </c>
      <c r="P657" s="1">
        <v>0</v>
      </c>
      <c r="Q657" s="3"/>
      <c r="R657" s="3"/>
      <c r="S657" s="3">
        <v>-760000</v>
      </c>
      <c r="T657" s="1">
        <v>4.427397</v>
      </c>
      <c r="U657" s="3"/>
      <c r="V657" s="3"/>
      <c r="X657" s="1">
        <v>-760000</v>
      </c>
      <c r="Y657" s="22">
        <v>4.427397</v>
      </c>
      <c r="Z657" s="4">
        <f>Table1[[#This Row],[totalTimeKept]]*$AD$3</f>
        <v>66410.955000000002</v>
      </c>
      <c r="AA657" s="4">
        <f>Y657-Z657</f>
        <v>-66406.527602999995</v>
      </c>
    </row>
    <row r="658" spans="1:27" x14ac:dyDescent="0.3">
      <c r="A658" s="1">
        <v>10597263</v>
      </c>
      <c r="B658" s="1" t="s">
        <v>1059</v>
      </c>
      <c r="C658" s="1" t="s">
        <v>703</v>
      </c>
      <c r="D658" s="1">
        <v>8567762</v>
      </c>
      <c r="E658" s="1">
        <v>0</v>
      </c>
      <c r="F658" s="1" t="s">
        <v>25</v>
      </c>
      <c r="G658" s="1" t="s">
        <v>46</v>
      </c>
      <c r="H658" s="2">
        <v>43545</v>
      </c>
      <c r="I658" s="2" t="s">
        <v>25</v>
      </c>
      <c r="J658" s="2">
        <v>43871</v>
      </c>
      <c r="K658" s="3"/>
      <c r="L658" s="3">
        <v>1000</v>
      </c>
      <c r="M658" s="3">
        <v>1000</v>
      </c>
      <c r="N658" s="1">
        <v>1</v>
      </c>
      <c r="O658" s="1">
        <v>0</v>
      </c>
      <c r="P658" s="1">
        <v>1</v>
      </c>
      <c r="Q658" s="3"/>
      <c r="R658" s="3"/>
      <c r="S658" s="3">
        <v>1000</v>
      </c>
      <c r="T658" s="1">
        <v>0.89315069999999996</v>
      </c>
      <c r="U658" s="3"/>
      <c r="V658" s="3"/>
      <c r="X658" s="1">
        <v>1000</v>
      </c>
      <c r="Y658" s="22">
        <v>0.89315069999999996</v>
      </c>
      <c r="Z658" s="4">
        <f>Table1[[#This Row],[totalTimeKept]]*$AD$3</f>
        <v>13397.2605</v>
      </c>
      <c r="AA658" s="4">
        <f>Y658-Z658</f>
        <v>-13396.367349300001</v>
      </c>
    </row>
    <row r="659" spans="1:27" x14ac:dyDescent="0.3">
      <c r="A659" s="1">
        <v>10597302</v>
      </c>
      <c r="B659" s="1" t="s">
        <v>1060</v>
      </c>
      <c r="C659" s="1" t="s">
        <v>1061</v>
      </c>
      <c r="D659" s="1">
        <v>9364764</v>
      </c>
      <c r="E659" s="1">
        <v>45280</v>
      </c>
      <c r="F659" s="1" t="s">
        <v>46</v>
      </c>
      <c r="G659" s="1" t="s">
        <v>25</v>
      </c>
      <c r="H659" s="2">
        <v>43528</v>
      </c>
      <c r="I659" s="2">
        <v>44091</v>
      </c>
      <c r="J659" s="2" t="s">
        <v>25</v>
      </c>
      <c r="K659" s="3">
        <v>250000</v>
      </c>
      <c r="L659" s="3"/>
      <c r="M659" s="3">
        <v>-250000</v>
      </c>
      <c r="N659" s="1">
        <v>0</v>
      </c>
      <c r="O659" s="1">
        <v>1</v>
      </c>
      <c r="P659" s="1">
        <v>0</v>
      </c>
      <c r="Q659" s="3"/>
      <c r="R659" s="3"/>
      <c r="S659" s="3">
        <v>-204720</v>
      </c>
      <c r="T659" s="1">
        <v>4.4219179999999998</v>
      </c>
      <c r="U659" s="3"/>
      <c r="V659" s="3"/>
      <c r="X659" s="1">
        <v>-204720</v>
      </c>
      <c r="Y659" s="22">
        <v>4.4219179999999998</v>
      </c>
      <c r="Z659" s="4">
        <f>Table1[[#This Row],[totalTimeKept]]*$AD$3</f>
        <v>66328.77</v>
      </c>
      <c r="AA659" s="4">
        <f>Y659-Z659</f>
        <v>-66324.348082000011</v>
      </c>
    </row>
    <row r="660" spans="1:27" x14ac:dyDescent="0.3">
      <c r="A660" s="1">
        <v>10598185</v>
      </c>
      <c r="B660" s="1" t="s">
        <v>1062</v>
      </c>
      <c r="C660" s="1" t="s">
        <v>171</v>
      </c>
      <c r="D660" s="1">
        <v>7485686</v>
      </c>
      <c r="E660" s="1">
        <v>0</v>
      </c>
      <c r="F660" s="1" t="s">
        <v>25</v>
      </c>
      <c r="G660" s="1" t="s">
        <v>349</v>
      </c>
      <c r="H660" s="2">
        <v>43551</v>
      </c>
      <c r="I660" s="1" t="s">
        <v>25</v>
      </c>
      <c r="J660" s="2">
        <v>43776</v>
      </c>
      <c r="K660" s="3"/>
      <c r="L660" s="3">
        <v>2000</v>
      </c>
      <c r="M660" s="3">
        <v>2000</v>
      </c>
      <c r="N660" s="1">
        <v>1</v>
      </c>
      <c r="O660" s="1">
        <v>0</v>
      </c>
      <c r="P660" s="1">
        <v>1</v>
      </c>
      <c r="Q660" s="3"/>
      <c r="R660" s="3"/>
      <c r="S660" s="3">
        <v>2000</v>
      </c>
      <c r="T660" s="1">
        <v>0.61643829999999999</v>
      </c>
      <c r="U660" s="3"/>
      <c r="V660" s="3"/>
      <c r="X660" s="1">
        <v>2000</v>
      </c>
      <c r="Y660" s="22">
        <v>0.61643829999999999</v>
      </c>
      <c r="Z660" s="4">
        <f>Table1[[#This Row],[totalTimeKept]]*$AD$3</f>
        <v>9246.5745000000006</v>
      </c>
      <c r="AA660" s="4">
        <f>Y660-Z660</f>
        <v>-9245.9580617000011</v>
      </c>
    </row>
    <row r="661" spans="1:27" x14ac:dyDescent="0.3">
      <c r="A661" s="1">
        <v>10598454</v>
      </c>
      <c r="B661" s="1" t="s">
        <v>1063</v>
      </c>
      <c r="C661" s="1" t="s">
        <v>1064</v>
      </c>
      <c r="D661" s="1">
        <v>8833423</v>
      </c>
      <c r="E661" s="1">
        <v>573320</v>
      </c>
      <c r="F661" s="1" t="s">
        <v>46</v>
      </c>
      <c r="G661" s="1" t="s">
        <v>25</v>
      </c>
      <c r="H661" s="2">
        <v>43548</v>
      </c>
      <c r="I661" s="2">
        <v>44084</v>
      </c>
      <c r="J661" s="1" t="s">
        <v>25</v>
      </c>
      <c r="K661" s="3">
        <v>470000</v>
      </c>
      <c r="L661" s="3"/>
      <c r="M661" s="3">
        <v>-470000</v>
      </c>
      <c r="N661" s="1">
        <v>0</v>
      </c>
      <c r="O661" s="1">
        <v>1</v>
      </c>
      <c r="P661" s="1">
        <v>0</v>
      </c>
      <c r="Q661" s="3"/>
      <c r="R661" s="3"/>
      <c r="S661" s="3">
        <v>103320</v>
      </c>
      <c r="T661" s="1">
        <v>4.4410959999999999</v>
      </c>
      <c r="U661" s="3"/>
      <c r="V661" s="3"/>
      <c r="X661" s="1">
        <v>103320</v>
      </c>
      <c r="Y661" s="22">
        <v>4.4410959999999999</v>
      </c>
      <c r="Z661" s="4">
        <f>Table1[[#This Row],[totalTimeKept]]*$AD$3</f>
        <v>66616.44</v>
      </c>
      <c r="AA661" s="4">
        <f>Y661-Z661</f>
        <v>-66611.998904000007</v>
      </c>
    </row>
    <row r="662" spans="1:27" x14ac:dyDescent="0.3">
      <c r="A662" s="1">
        <v>10598601</v>
      </c>
      <c r="B662" s="1" t="s">
        <v>1065</v>
      </c>
      <c r="C662" s="1" t="s">
        <v>462</v>
      </c>
      <c r="D662" s="1">
        <v>4307108</v>
      </c>
      <c r="E662" s="1">
        <v>0</v>
      </c>
      <c r="F662" s="1" t="s">
        <v>25</v>
      </c>
      <c r="G662" s="1" t="s">
        <v>46</v>
      </c>
      <c r="H662" s="2">
        <v>43555</v>
      </c>
      <c r="I662" s="2" t="s">
        <v>25</v>
      </c>
      <c r="J662" s="2">
        <v>44095</v>
      </c>
      <c r="K662" s="3"/>
      <c r="L662" s="3">
        <v>7500</v>
      </c>
      <c r="M662" s="3">
        <v>7500</v>
      </c>
      <c r="N662" s="1">
        <v>1</v>
      </c>
      <c r="O662" s="1">
        <v>0</v>
      </c>
      <c r="P662" s="1">
        <v>1</v>
      </c>
      <c r="Q662" s="3"/>
      <c r="R662" s="3"/>
      <c r="S662" s="3">
        <v>7500</v>
      </c>
      <c r="T662" s="1">
        <v>1.479452</v>
      </c>
      <c r="U662" s="3"/>
      <c r="V662" s="3"/>
      <c r="X662" s="1">
        <v>7500</v>
      </c>
      <c r="Y662" s="22">
        <v>1.479452</v>
      </c>
      <c r="Z662" s="4">
        <f>Table1[[#This Row],[totalTimeKept]]*$AD$3</f>
        <v>22191.78</v>
      </c>
      <c r="AA662" s="4">
        <f>Y662-Z662</f>
        <v>-22190.300547999999</v>
      </c>
    </row>
    <row r="663" spans="1:27" x14ac:dyDescent="0.3">
      <c r="A663" s="1">
        <v>10599766</v>
      </c>
      <c r="B663" s="1" t="s">
        <v>1066</v>
      </c>
      <c r="C663" s="1" t="s">
        <v>1067</v>
      </c>
      <c r="D663" s="1">
        <v>8276672</v>
      </c>
      <c r="E663" s="1">
        <v>0</v>
      </c>
      <c r="F663" s="1" t="s">
        <v>46</v>
      </c>
      <c r="G663" s="1" t="s">
        <v>25</v>
      </c>
      <c r="H663" s="2">
        <v>43542</v>
      </c>
      <c r="I663" s="2">
        <v>44087</v>
      </c>
      <c r="J663" s="1" t="s">
        <v>25</v>
      </c>
      <c r="K663" s="3">
        <v>250000</v>
      </c>
      <c r="L663" s="3"/>
      <c r="M663" s="3">
        <v>-250000</v>
      </c>
      <c r="N663" s="1">
        <v>0</v>
      </c>
      <c r="O663" s="1">
        <v>1</v>
      </c>
      <c r="P663" s="1">
        <v>0</v>
      </c>
      <c r="Q663" s="3"/>
      <c r="R663" s="3"/>
      <c r="S663" s="3">
        <v>-250000</v>
      </c>
      <c r="T663" s="1">
        <v>4.4328770000000004</v>
      </c>
      <c r="U663" s="3"/>
      <c r="V663" s="3"/>
      <c r="X663" s="1">
        <v>-250000</v>
      </c>
      <c r="Y663" s="22">
        <v>4.4328770000000004</v>
      </c>
      <c r="Z663" s="4">
        <f>Table1[[#This Row],[totalTimeKept]]*$AD$3</f>
        <v>66493.154999999999</v>
      </c>
      <c r="AA663" s="4">
        <f>Y663-Z663</f>
        <v>-66488.722123</v>
      </c>
    </row>
    <row r="664" spans="1:27" x14ac:dyDescent="0.3">
      <c r="A664" s="1">
        <v>10600018</v>
      </c>
      <c r="B664" s="1" t="s">
        <v>1068</v>
      </c>
      <c r="C664" s="1" t="s">
        <v>1069</v>
      </c>
      <c r="D664" s="1">
        <v>8684908</v>
      </c>
      <c r="E664" s="1">
        <v>0</v>
      </c>
      <c r="F664" s="1" t="s">
        <v>46</v>
      </c>
      <c r="G664" s="1" t="s">
        <v>846</v>
      </c>
      <c r="H664" s="2">
        <v>43557</v>
      </c>
      <c r="I664" s="2">
        <v>44084</v>
      </c>
      <c r="J664" s="2">
        <v>44753</v>
      </c>
      <c r="K664" s="3">
        <v>300000</v>
      </c>
      <c r="L664" s="3">
        <v>16000</v>
      </c>
      <c r="M664" s="3">
        <v>-284000</v>
      </c>
      <c r="N664" s="1">
        <v>0</v>
      </c>
      <c r="O664" s="1">
        <v>1</v>
      </c>
      <c r="P664" s="1">
        <v>1</v>
      </c>
      <c r="Q664" s="3"/>
      <c r="R664" s="3"/>
      <c r="S664" s="3">
        <v>-284000</v>
      </c>
      <c r="T664" s="1">
        <v>1.8328770000000001</v>
      </c>
      <c r="U664" s="3"/>
      <c r="V664" s="3"/>
      <c r="X664" s="1">
        <v>-284000</v>
      </c>
      <c r="Y664" s="22">
        <v>1.8328770000000001</v>
      </c>
      <c r="Z664" s="4">
        <f>Table1[[#This Row],[totalTimeKept]]*$AD$3</f>
        <v>27493.155000000002</v>
      </c>
      <c r="AA664" s="4">
        <f>Y664-Z664</f>
        <v>-27491.322123000002</v>
      </c>
    </row>
    <row r="665" spans="1:27" x14ac:dyDescent="0.3">
      <c r="A665" s="1">
        <v>10601881</v>
      </c>
      <c r="B665" s="1" t="s">
        <v>1070</v>
      </c>
      <c r="C665" s="1" t="s">
        <v>1071</v>
      </c>
      <c r="D665" s="1">
        <v>8599015</v>
      </c>
      <c r="E665" s="1">
        <v>172700</v>
      </c>
      <c r="F665" s="1" t="s">
        <v>46</v>
      </c>
      <c r="G665" s="1" t="s">
        <v>25</v>
      </c>
      <c r="H665" s="2">
        <v>43544</v>
      </c>
      <c r="I665" s="2">
        <v>44087</v>
      </c>
      <c r="J665" s="1" t="s">
        <v>25</v>
      </c>
      <c r="K665" s="3">
        <v>750000</v>
      </c>
      <c r="L665" s="3"/>
      <c r="M665" s="3">
        <v>-750000</v>
      </c>
      <c r="N665" s="1">
        <v>0</v>
      </c>
      <c r="O665" s="1">
        <v>1</v>
      </c>
      <c r="P665" s="1">
        <v>0</v>
      </c>
      <c r="Q665" s="3"/>
      <c r="R665" s="3"/>
      <c r="S665" s="3">
        <v>-577300</v>
      </c>
      <c r="T665" s="1">
        <v>4.4328770000000004</v>
      </c>
      <c r="U665" s="3"/>
      <c r="V665" s="3"/>
      <c r="X665" s="1">
        <v>-577300</v>
      </c>
      <c r="Y665" s="22">
        <v>4.4328770000000004</v>
      </c>
      <c r="Z665" s="4">
        <f>Table1[[#This Row],[totalTimeKept]]*$AD$3</f>
        <v>66493.154999999999</v>
      </c>
      <c r="AA665" s="4">
        <f>Y665-Z665</f>
        <v>-66488.722123</v>
      </c>
    </row>
    <row r="666" spans="1:27" x14ac:dyDescent="0.3">
      <c r="A666" s="1">
        <v>10601979</v>
      </c>
      <c r="B666" s="1" t="s">
        <v>1072</v>
      </c>
      <c r="C666" s="1" t="s">
        <v>752</v>
      </c>
      <c r="D666" s="1">
        <v>9935018</v>
      </c>
      <c r="E666" s="1">
        <v>36450</v>
      </c>
      <c r="F666" s="1" t="s">
        <v>25</v>
      </c>
      <c r="G666" s="1" t="s">
        <v>25</v>
      </c>
      <c r="H666" s="2">
        <v>43548</v>
      </c>
      <c r="I666" s="2" t="s">
        <v>25</v>
      </c>
      <c r="J666" s="2" t="s">
        <v>25</v>
      </c>
      <c r="K666" s="3"/>
      <c r="L666" s="3"/>
      <c r="M666" s="3">
        <v>0</v>
      </c>
      <c r="N666" s="1">
        <v>1</v>
      </c>
      <c r="P666" s="1">
        <v>0</v>
      </c>
      <c r="Q666" s="3"/>
      <c r="R666" s="3"/>
      <c r="S666" s="3">
        <v>36450</v>
      </c>
      <c r="T666" s="1">
        <v>5.9095890000000004</v>
      </c>
      <c r="U666" s="3"/>
      <c r="V666" s="3"/>
      <c r="X666" s="1">
        <v>36450</v>
      </c>
      <c r="Y666" s="22">
        <v>5.9095890000000004</v>
      </c>
      <c r="Z666" s="4">
        <f>Table1[[#This Row],[totalTimeKept]]*$AD$3</f>
        <v>88643.835000000006</v>
      </c>
      <c r="AA666" s="4">
        <f>Y666-Z666</f>
        <v>-88637.925411000004</v>
      </c>
    </row>
    <row r="667" spans="1:27" x14ac:dyDescent="0.3">
      <c r="A667" s="1">
        <v>10601982</v>
      </c>
      <c r="B667" s="1" t="s">
        <v>1073</v>
      </c>
      <c r="C667" s="1" t="s">
        <v>215</v>
      </c>
      <c r="D667" s="1">
        <v>7877979</v>
      </c>
      <c r="E667" s="1">
        <v>0</v>
      </c>
      <c r="F667" s="1" t="s">
        <v>25</v>
      </c>
      <c r="G667" s="1" t="s">
        <v>349</v>
      </c>
      <c r="H667" s="2">
        <v>43542</v>
      </c>
      <c r="I667" s="2" t="s">
        <v>25</v>
      </c>
      <c r="J667" s="2">
        <v>43776</v>
      </c>
      <c r="K667" s="3"/>
      <c r="L667" s="3">
        <v>95000</v>
      </c>
      <c r="M667" s="3">
        <v>95000</v>
      </c>
      <c r="N667" s="1">
        <v>1</v>
      </c>
      <c r="O667" s="1">
        <v>0</v>
      </c>
      <c r="P667" s="1">
        <v>1</v>
      </c>
      <c r="Q667" s="3"/>
      <c r="R667" s="3"/>
      <c r="S667" s="3">
        <v>95000</v>
      </c>
      <c r="T667" s="1">
        <v>0.64109590000000005</v>
      </c>
      <c r="U667" s="3"/>
      <c r="V667" s="3"/>
      <c r="X667" s="1">
        <v>95000</v>
      </c>
      <c r="Y667" s="22">
        <v>0.64109590000000005</v>
      </c>
      <c r="Z667" s="4">
        <f>Table1[[#This Row],[totalTimeKept]]*$AD$3</f>
        <v>9616.4385000000002</v>
      </c>
      <c r="AA667" s="4">
        <f>Y667-Z667</f>
        <v>-9615.7974040999998</v>
      </c>
    </row>
    <row r="668" spans="1:27" x14ac:dyDescent="0.3">
      <c r="A668" s="1">
        <v>10602265</v>
      </c>
      <c r="B668" s="1" t="s">
        <v>1074</v>
      </c>
      <c r="C668" s="1" t="s">
        <v>270</v>
      </c>
      <c r="D668" s="1">
        <v>8337012</v>
      </c>
      <c r="E668" s="1">
        <v>0</v>
      </c>
      <c r="F668" s="1" t="s">
        <v>25</v>
      </c>
      <c r="G668" s="1" t="s">
        <v>46</v>
      </c>
      <c r="H668" s="2">
        <v>43565</v>
      </c>
      <c r="I668" s="2" t="s">
        <v>25</v>
      </c>
      <c r="J668" s="2">
        <v>44133</v>
      </c>
      <c r="K668" s="3"/>
      <c r="L668" s="3">
        <v>25000</v>
      </c>
      <c r="M668" s="3">
        <v>25000</v>
      </c>
      <c r="N668" s="1">
        <v>1</v>
      </c>
      <c r="O668" s="1">
        <v>0</v>
      </c>
      <c r="P668" s="1">
        <v>1</v>
      </c>
      <c r="Q668" s="3"/>
      <c r="R668" s="3"/>
      <c r="S668" s="3">
        <v>25000</v>
      </c>
      <c r="T668" s="1">
        <v>1.5561640000000001</v>
      </c>
      <c r="U668" s="3"/>
      <c r="V668" s="3"/>
      <c r="X668" s="1">
        <v>25000</v>
      </c>
      <c r="Y668" s="22">
        <v>1.5561640000000001</v>
      </c>
      <c r="Z668" s="4">
        <f>Table1[[#This Row],[totalTimeKept]]*$AD$3</f>
        <v>23342.460000000003</v>
      </c>
      <c r="AA668" s="4">
        <f>Y668-Z668</f>
        <v>-23340.903836000001</v>
      </c>
    </row>
    <row r="669" spans="1:27" x14ac:dyDescent="0.3">
      <c r="A669" s="1">
        <v>10602722</v>
      </c>
      <c r="B669" s="1" t="s">
        <v>1075</v>
      </c>
      <c r="C669" s="1" t="s">
        <v>1076</v>
      </c>
      <c r="D669" s="1">
        <v>9892816</v>
      </c>
      <c r="E669" s="1">
        <v>6000</v>
      </c>
      <c r="F669" s="1" t="s">
        <v>46</v>
      </c>
      <c r="G669" s="1" t="s">
        <v>25</v>
      </c>
      <c r="H669" s="2">
        <v>43555</v>
      </c>
      <c r="I669" s="2">
        <v>44089</v>
      </c>
      <c r="J669" s="1" t="s">
        <v>25</v>
      </c>
      <c r="K669" s="3">
        <v>585000</v>
      </c>
      <c r="L669" s="3"/>
      <c r="M669" s="3">
        <v>-585000</v>
      </c>
      <c r="N669" s="1">
        <v>0</v>
      </c>
      <c r="O669" s="1">
        <v>1</v>
      </c>
      <c r="P669" s="1">
        <v>0</v>
      </c>
      <c r="Q669" s="3"/>
      <c r="R669" s="3"/>
      <c r="S669" s="3">
        <v>-579000</v>
      </c>
      <c r="T669" s="1">
        <v>4.427397</v>
      </c>
      <c r="U669" s="3"/>
      <c r="V669" s="3"/>
      <c r="X669" s="1">
        <v>-579000</v>
      </c>
      <c r="Y669" s="22">
        <v>4.427397</v>
      </c>
      <c r="Z669" s="4">
        <f>Table1[[#This Row],[totalTimeKept]]*$AD$3</f>
        <v>66410.955000000002</v>
      </c>
      <c r="AA669" s="4">
        <f>Y669-Z669</f>
        <v>-66406.527602999995</v>
      </c>
    </row>
    <row r="670" spans="1:27" x14ac:dyDescent="0.3">
      <c r="A670" s="1">
        <v>10604132</v>
      </c>
      <c r="B670" s="1" t="s">
        <v>1077</v>
      </c>
      <c r="C670" s="1" t="s">
        <v>173</v>
      </c>
      <c r="D670" s="1">
        <v>7488349</v>
      </c>
      <c r="E670" s="1">
        <v>0</v>
      </c>
      <c r="F670" s="1" t="s">
        <v>25</v>
      </c>
      <c r="G670" s="1" t="s">
        <v>349</v>
      </c>
      <c r="H670" s="2">
        <v>43564</v>
      </c>
      <c r="I670" s="1" t="s">
        <v>25</v>
      </c>
      <c r="J670" s="2">
        <v>43778</v>
      </c>
      <c r="K670" s="3"/>
      <c r="L670" s="3">
        <v>27000</v>
      </c>
      <c r="M670" s="3">
        <v>27000</v>
      </c>
      <c r="N670" s="1">
        <v>1</v>
      </c>
      <c r="O670" s="1">
        <v>0</v>
      </c>
      <c r="P670" s="1">
        <v>1</v>
      </c>
      <c r="Q670" s="3"/>
      <c r="R670" s="3"/>
      <c r="S670" s="3">
        <v>27000</v>
      </c>
      <c r="T670" s="1">
        <v>0.58630139999999997</v>
      </c>
      <c r="U670" s="3"/>
      <c r="V670" s="3"/>
      <c r="X670" s="1">
        <v>27000</v>
      </c>
      <c r="Y670" s="22">
        <v>0.58630139999999997</v>
      </c>
      <c r="Z670" s="4">
        <f>Table1[[#This Row],[totalTimeKept]]*$AD$3</f>
        <v>8794.5209999999988</v>
      </c>
      <c r="AA670" s="4">
        <f>Y670-Z670</f>
        <v>-8793.9346985999982</v>
      </c>
    </row>
    <row r="671" spans="1:27" x14ac:dyDescent="0.3">
      <c r="A671" s="1">
        <v>10604345</v>
      </c>
      <c r="B671" s="1" t="s">
        <v>1078</v>
      </c>
      <c r="C671" s="1" t="s">
        <v>400</v>
      </c>
      <c r="D671" s="1">
        <v>8926093</v>
      </c>
      <c r="E671" s="1">
        <v>0</v>
      </c>
      <c r="F671" s="1" t="s">
        <v>25</v>
      </c>
      <c r="G671" s="1" t="s">
        <v>46</v>
      </c>
      <c r="H671" s="2">
        <v>43574</v>
      </c>
      <c r="I671" s="2" t="s">
        <v>25</v>
      </c>
      <c r="J671" s="2">
        <v>44131</v>
      </c>
      <c r="K671" s="3"/>
      <c r="L671" s="3">
        <v>70000</v>
      </c>
      <c r="M671" s="3">
        <v>70000</v>
      </c>
      <c r="N671" s="1">
        <v>1</v>
      </c>
      <c r="O671" s="1">
        <v>0</v>
      </c>
      <c r="P671" s="1">
        <v>1</v>
      </c>
      <c r="Q671" s="3"/>
      <c r="R671" s="3"/>
      <c r="S671" s="3">
        <v>70000</v>
      </c>
      <c r="T671" s="1">
        <v>1.526027</v>
      </c>
      <c r="U671" s="3"/>
      <c r="V671" s="3"/>
      <c r="X671" s="1">
        <v>70000</v>
      </c>
      <c r="Y671" s="22">
        <v>1.526027</v>
      </c>
      <c r="Z671" s="4">
        <f>Table1[[#This Row],[totalTimeKept]]*$AD$3</f>
        <v>22890.404999999999</v>
      </c>
      <c r="AA671" s="4">
        <f>Y671-Z671</f>
        <v>-22888.878972999999</v>
      </c>
    </row>
    <row r="672" spans="1:27" x14ac:dyDescent="0.3">
      <c r="A672" s="1">
        <v>10604784</v>
      </c>
      <c r="B672" s="1" t="s">
        <v>1079</v>
      </c>
      <c r="C672" s="1" t="s">
        <v>1080</v>
      </c>
      <c r="D672" s="1">
        <v>8293850</v>
      </c>
      <c r="E672" s="1">
        <v>135650</v>
      </c>
      <c r="F672" s="1" t="s">
        <v>46</v>
      </c>
      <c r="G672" s="1" t="s">
        <v>846</v>
      </c>
      <c r="H672" s="2">
        <v>43567</v>
      </c>
      <c r="I672" s="2">
        <v>44087</v>
      </c>
      <c r="J672" s="2">
        <v>44753</v>
      </c>
      <c r="K672" s="3">
        <v>775000</v>
      </c>
      <c r="L672" s="3">
        <v>90000</v>
      </c>
      <c r="M672" s="3">
        <v>-685000</v>
      </c>
      <c r="N672" s="1">
        <v>0</v>
      </c>
      <c r="O672" s="1">
        <v>1</v>
      </c>
      <c r="P672" s="1">
        <v>1</v>
      </c>
      <c r="Q672" s="3"/>
      <c r="R672" s="3"/>
      <c r="S672" s="3">
        <v>-549350</v>
      </c>
      <c r="T672" s="1">
        <v>1.8246579999999999</v>
      </c>
      <c r="U672" s="3"/>
      <c r="V672" s="3"/>
      <c r="X672" s="1">
        <v>-549350</v>
      </c>
      <c r="Y672" s="22">
        <v>1.8246579999999999</v>
      </c>
      <c r="Z672" s="4">
        <f>Table1[[#This Row],[totalTimeKept]]*$AD$3</f>
        <v>27369.87</v>
      </c>
      <c r="AA672" s="4">
        <f>Y672-Z672</f>
        <v>-27368.045341999998</v>
      </c>
    </row>
    <row r="673" spans="1:27" x14ac:dyDescent="0.3">
      <c r="A673" s="1">
        <v>10606700</v>
      </c>
      <c r="B673" s="1" t="s">
        <v>1081</v>
      </c>
      <c r="C673" s="1" t="s">
        <v>1082</v>
      </c>
      <c r="D673" s="1">
        <v>8278025</v>
      </c>
      <c r="E673" s="1">
        <v>66700</v>
      </c>
      <c r="F673" s="1" t="s">
        <v>46</v>
      </c>
      <c r="G673" s="1" t="s">
        <v>846</v>
      </c>
      <c r="H673" s="2">
        <v>43572</v>
      </c>
      <c r="I673" s="2">
        <v>44091</v>
      </c>
      <c r="J673" s="2">
        <v>44753</v>
      </c>
      <c r="K673" s="3">
        <v>400000</v>
      </c>
      <c r="L673" s="3">
        <v>45000</v>
      </c>
      <c r="M673" s="3">
        <v>-355000</v>
      </c>
      <c r="N673" s="1">
        <v>0</v>
      </c>
      <c r="O673" s="1">
        <v>1</v>
      </c>
      <c r="P673" s="1">
        <v>1</v>
      </c>
      <c r="Q673" s="3"/>
      <c r="R673" s="3"/>
      <c r="S673" s="3">
        <v>-288300</v>
      </c>
      <c r="T673" s="1">
        <v>1.813699</v>
      </c>
      <c r="U673" s="3"/>
      <c r="V673" s="3"/>
      <c r="X673" s="1">
        <v>-288300</v>
      </c>
      <c r="Y673" s="22">
        <v>1.813699</v>
      </c>
      <c r="Z673" s="4">
        <f>Table1[[#This Row],[totalTimeKept]]*$AD$3</f>
        <v>27205.485000000001</v>
      </c>
      <c r="AA673" s="4">
        <f>Y673-Z673</f>
        <v>-27203.671301000002</v>
      </c>
    </row>
    <row r="674" spans="1:27" x14ac:dyDescent="0.3">
      <c r="A674" s="1">
        <v>10606727</v>
      </c>
      <c r="B674" s="1" t="s">
        <v>1083</v>
      </c>
      <c r="C674" s="1" t="s">
        <v>1084</v>
      </c>
      <c r="D674" s="1">
        <v>8073186</v>
      </c>
      <c r="E674" s="1">
        <v>47950</v>
      </c>
      <c r="F674" s="1" t="s">
        <v>46</v>
      </c>
      <c r="G674" s="1" t="s">
        <v>846</v>
      </c>
      <c r="H674" s="2">
        <v>43576</v>
      </c>
      <c r="I674" s="2">
        <v>44090</v>
      </c>
      <c r="J674" s="2">
        <v>44882</v>
      </c>
      <c r="K674" s="3">
        <v>130000</v>
      </c>
      <c r="L674" s="3">
        <v>80000</v>
      </c>
      <c r="M674" s="3">
        <v>-50000</v>
      </c>
      <c r="N674" s="1">
        <v>0</v>
      </c>
      <c r="O674" s="1">
        <v>1</v>
      </c>
      <c r="P674" s="1">
        <v>1</v>
      </c>
      <c r="Q674" s="3"/>
      <c r="R674" s="3"/>
      <c r="S674" s="3">
        <v>-2050</v>
      </c>
      <c r="T674" s="1">
        <v>2.1698629999999999</v>
      </c>
      <c r="U674" s="3"/>
      <c r="V674" s="3"/>
      <c r="X674" s="1">
        <v>-2050</v>
      </c>
      <c r="Y674" s="22">
        <v>2.1698629999999999</v>
      </c>
      <c r="Z674" s="4">
        <f>Table1[[#This Row],[totalTimeKept]]*$AD$3</f>
        <v>32547.945</v>
      </c>
      <c r="AA674" s="4">
        <f>Y674-Z674</f>
        <v>-32545.775137000001</v>
      </c>
    </row>
    <row r="675" spans="1:27" x14ac:dyDescent="0.3">
      <c r="A675" s="1">
        <v>10615537</v>
      </c>
      <c r="B675" s="1" t="s">
        <v>1085</v>
      </c>
      <c r="C675" s="1" t="s">
        <v>1086</v>
      </c>
      <c r="D675" s="1">
        <v>9117427</v>
      </c>
      <c r="E675" s="1">
        <v>20100</v>
      </c>
      <c r="F675" s="1" t="s">
        <v>46</v>
      </c>
      <c r="G675" s="1" t="s">
        <v>846</v>
      </c>
      <c r="H675" s="2">
        <v>43562</v>
      </c>
      <c r="I675" s="2">
        <v>44084</v>
      </c>
      <c r="J675" s="2">
        <v>44753</v>
      </c>
      <c r="K675" s="3">
        <v>420000</v>
      </c>
      <c r="L675" s="3">
        <v>21000</v>
      </c>
      <c r="M675" s="3">
        <v>-399000</v>
      </c>
      <c r="N675" s="1">
        <v>0</v>
      </c>
      <c r="O675" s="1">
        <v>1</v>
      </c>
      <c r="P675" s="1">
        <v>1</v>
      </c>
      <c r="Q675" s="3"/>
      <c r="R675" s="3"/>
      <c r="S675" s="3">
        <v>-378900</v>
      </c>
      <c r="T675" s="1">
        <v>1.8328770000000001</v>
      </c>
      <c r="U675" s="3"/>
      <c r="V675" s="3"/>
      <c r="X675" s="1">
        <v>-378900</v>
      </c>
      <c r="Y675" s="22">
        <v>1.8328770000000001</v>
      </c>
      <c r="Z675" s="4">
        <f>Table1[[#This Row],[totalTimeKept]]*$AD$3</f>
        <v>27493.155000000002</v>
      </c>
      <c r="AA675" s="4">
        <f>Y675-Z675</f>
        <v>-27491.322123000002</v>
      </c>
    </row>
    <row r="676" spans="1:27" x14ac:dyDescent="0.3">
      <c r="A676" s="1">
        <v>10616431</v>
      </c>
      <c r="B676" s="1" t="s">
        <v>1087</v>
      </c>
      <c r="C676" s="1" t="s">
        <v>1088</v>
      </c>
      <c r="D676" s="1">
        <v>8289544</v>
      </c>
      <c r="E676" s="1">
        <v>539040</v>
      </c>
      <c r="F676" s="1" t="s">
        <v>46</v>
      </c>
      <c r="G676" s="1" t="s">
        <v>25</v>
      </c>
      <c r="H676" s="2">
        <v>43572</v>
      </c>
      <c r="I676" s="2">
        <v>44084</v>
      </c>
      <c r="J676" s="2" t="s">
        <v>25</v>
      </c>
      <c r="K676" s="3">
        <v>570000</v>
      </c>
      <c r="L676" s="3"/>
      <c r="M676" s="3">
        <v>-570000</v>
      </c>
      <c r="N676" s="1">
        <v>0</v>
      </c>
      <c r="O676" s="1">
        <v>1</v>
      </c>
      <c r="P676" s="1">
        <v>0</v>
      </c>
      <c r="Q676" s="3"/>
      <c r="R676" s="3"/>
      <c r="S676" s="3">
        <v>-30960</v>
      </c>
      <c r="T676" s="1">
        <v>4.4410959999999999</v>
      </c>
      <c r="U676" s="3"/>
      <c r="V676" s="3"/>
      <c r="X676" s="1">
        <v>-30960</v>
      </c>
      <c r="Y676" s="22">
        <v>4.4410959999999999</v>
      </c>
      <c r="Z676" s="4">
        <f>Table1[[#This Row],[totalTimeKept]]*$AD$3</f>
        <v>66616.44</v>
      </c>
      <c r="AA676" s="4">
        <f>Y676-Z676</f>
        <v>-66611.998904000007</v>
      </c>
    </row>
    <row r="677" spans="1:27" x14ac:dyDescent="0.3">
      <c r="A677" s="1">
        <v>10617561</v>
      </c>
      <c r="B677" s="1" t="s">
        <v>1089</v>
      </c>
      <c r="C677" s="1" t="s">
        <v>1090</v>
      </c>
      <c r="D677" s="1">
        <v>9327137</v>
      </c>
      <c r="E677" s="1">
        <v>109800</v>
      </c>
      <c r="F677" s="1" t="s">
        <v>46</v>
      </c>
      <c r="G677" s="1" t="s">
        <v>846</v>
      </c>
      <c r="H677" s="2">
        <v>43581</v>
      </c>
      <c r="I677" s="2">
        <v>44087</v>
      </c>
      <c r="J677" s="2">
        <v>44680</v>
      </c>
      <c r="K677" s="3">
        <v>620000</v>
      </c>
      <c r="L677" s="3">
        <v>250000</v>
      </c>
      <c r="M677" s="3">
        <v>-370000</v>
      </c>
      <c r="N677" s="1">
        <v>0</v>
      </c>
      <c r="O677" s="1">
        <v>1</v>
      </c>
      <c r="P677" s="1">
        <v>1</v>
      </c>
      <c r="Q677" s="3"/>
      <c r="R677" s="3"/>
      <c r="S677" s="3">
        <v>-260200</v>
      </c>
      <c r="T677" s="1">
        <v>1.6246579999999999</v>
      </c>
      <c r="U677" s="3"/>
      <c r="V677" s="3"/>
      <c r="X677" s="1">
        <v>-260200</v>
      </c>
      <c r="Y677" s="22">
        <v>1.6246579999999999</v>
      </c>
      <c r="Z677" s="4">
        <f>Table1[[#This Row],[totalTimeKept]]*$AD$3</f>
        <v>24369.87</v>
      </c>
      <c r="AA677" s="4">
        <f>Y677-Z677</f>
        <v>-24368.245341999998</v>
      </c>
    </row>
    <row r="678" spans="1:27" x14ac:dyDescent="0.3">
      <c r="A678" s="1">
        <v>10617803</v>
      </c>
      <c r="B678" s="1" t="s">
        <v>1091</v>
      </c>
      <c r="C678" s="1" t="s">
        <v>1092</v>
      </c>
      <c r="D678" s="1">
        <v>6965114</v>
      </c>
      <c r="E678" s="1">
        <v>9120</v>
      </c>
      <c r="F678" s="1" t="s">
        <v>46</v>
      </c>
      <c r="G678" s="1" t="s">
        <v>25</v>
      </c>
      <c r="H678" s="2">
        <v>43576</v>
      </c>
      <c r="I678" s="2">
        <v>44092</v>
      </c>
      <c r="J678" s="2" t="s">
        <v>25</v>
      </c>
      <c r="K678" s="3">
        <v>385000</v>
      </c>
      <c r="L678" s="3"/>
      <c r="M678" s="3">
        <v>-385000</v>
      </c>
      <c r="N678" s="1">
        <v>0</v>
      </c>
      <c r="O678" s="1">
        <v>1</v>
      </c>
      <c r="P678" s="1">
        <v>0</v>
      </c>
      <c r="Q678" s="3"/>
      <c r="R678" s="3"/>
      <c r="S678" s="3">
        <v>-375880</v>
      </c>
      <c r="T678" s="1">
        <v>4.4191779999999996</v>
      </c>
      <c r="U678" s="3"/>
      <c r="V678" s="3"/>
      <c r="X678" s="1">
        <v>-375880</v>
      </c>
      <c r="Y678" s="22">
        <v>4.4191779999999996</v>
      </c>
      <c r="Z678" s="4">
        <f>Table1[[#This Row],[totalTimeKept]]*$AD$3</f>
        <v>66287.67</v>
      </c>
      <c r="AA678" s="4">
        <f>Y678-Z678</f>
        <v>-66283.250822000002</v>
      </c>
    </row>
    <row r="679" spans="1:27" x14ac:dyDescent="0.3">
      <c r="A679" s="1">
        <v>10617807</v>
      </c>
      <c r="B679" s="1" t="s">
        <v>1093</v>
      </c>
      <c r="C679" s="1" t="s">
        <v>536</v>
      </c>
      <c r="D679" s="1">
        <v>5102441</v>
      </c>
      <c r="E679" s="1">
        <v>0</v>
      </c>
      <c r="F679" s="1" t="s">
        <v>24</v>
      </c>
      <c r="G679" s="1" t="s">
        <v>25</v>
      </c>
      <c r="H679" s="2">
        <v>43578</v>
      </c>
      <c r="I679" s="2">
        <v>45238</v>
      </c>
      <c r="J679" s="1" t="s">
        <v>25</v>
      </c>
      <c r="K679" s="3">
        <v>450000</v>
      </c>
      <c r="L679" s="3"/>
      <c r="M679" s="3">
        <v>-450000</v>
      </c>
      <c r="N679" s="1">
        <v>0</v>
      </c>
      <c r="O679" s="1">
        <v>1</v>
      </c>
      <c r="P679" s="1">
        <v>0</v>
      </c>
      <c r="Q679" s="3">
        <v>200000</v>
      </c>
      <c r="R679" s="3"/>
      <c r="S679" s="3">
        <v>-650000</v>
      </c>
      <c r="T679" s="1">
        <v>1.279452</v>
      </c>
      <c r="U679" s="3"/>
      <c r="V679" s="3"/>
      <c r="X679" s="1">
        <v>-650000</v>
      </c>
      <c r="Y679" s="22">
        <v>1.279452</v>
      </c>
      <c r="Z679" s="4">
        <f>Table1[[#This Row],[totalTimeKept]]*$AD$3</f>
        <v>19191.78</v>
      </c>
      <c r="AA679" s="4">
        <f>Y679-Z679</f>
        <v>-19190.500548</v>
      </c>
    </row>
    <row r="680" spans="1:27" x14ac:dyDescent="0.3">
      <c r="A680" s="1">
        <v>10618816</v>
      </c>
      <c r="B680" s="1" t="s">
        <v>1094</v>
      </c>
      <c r="C680" s="1" t="s">
        <v>1095</v>
      </c>
      <c r="D680" s="1">
        <v>9345619</v>
      </c>
      <c r="E680" s="1">
        <v>0</v>
      </c>
      <c r="F680" s="1" t="s">
        <v>139</v>
      </c>
      <c r="G680" s="1" t="s">
        <v>25</v>
      </c>
      <c r="H680" s="2">
        <v>43575</v>
      </c>
      <c r="I680" s="2">
        <v>45604</v>
      </c>
      <c r="J680" s="1" t="s">
        <v>25</v>
      </c>
      <c r="K680" s="3">
        <v>145000</v>
      </c>
      <c r="L680" s="3"/>
      <c r="M680" s="3">
        <v>-145000</v>
      </c>
      <c r="N680" s="1">
        <v>0</v>
      </c>
      <c r="O680" s="1">
        <v>1</v>
      </c>
      <c r="P680" s="1">
        <v>0</v>
      </c>
      <c r="Q680" s="3"/>
      <c r="R680" s="3"/>
      <c r="S680" s="3">
        <v>-145000</v>
      </c>
      <c r="T680" s="1">
        <v>0.27671230000000002</v>
      </c>
      <c r="U680" s="3"/>
      <c r="V680" s="3"/>
      <c r="X680" s="1">
        <v>-145000</v>
      </c>
      <c r="Y680" s="22">
        <v>0.27671230000000002</v>
      </c>
      <c r="Z680" s="4">
        <f>Table1[[#This Row],[totalTimeKept]]*$AD$3</f>
        <v>4150.6845000000003</v>
      </c>
      <c r="AA680" s="4">
        <f>Y680-Z680</f>
        <v>-4150.4077877</v>
      </c>
    </row>
    <row r="681" spans="1:27" x14ac:dyDescent="0.3">
      <c r="A681" s="1">
        <v>10619077</v>
      </c>
      <c r="B681" s="1" t="s">
        <v>1096</v>
      </c>
      <c r="C681" s="1" t="s">
        <v>1097</v>
      </c>
      <c r="D681" s="1">
        <v>8882422</v>
      </c>
      <c r="E681" s="1">
        <v>210450</v>
      </c>
      <c r="F681" s="1" t="s">
        <v>46</v>
      </c>
      <c r="G681" s="1" t="s">
        <v>25</v>
      </c>
      <c r="H681" s="2">
        <v>43490</v>
      </c>
      <c r="I681" s="2">
        <v>44084</v>
      </c>
      <c r="J681" s="2" t="s">
        <v>25</v>
      </c>
      <c r="K681" s="3">
        <v>400000</v>
      </c>
      <c r="L681" s="3"/>
      <c r="M681" s="3">
        <v>-400000</v>
      </c>
      <c r="N681" s="1">
        <v>0</v>
      </c>
      <c r="O681" s="1">
        <v>1</v>
      </c>
      <c r="P681" s="1">
        <v>0</v>
      </c>
      <c r="Q681" s="3"/>
      <c r="R681" s="3"/>
      <c r="S681" s="3">
        <v>-189550</v>
      </c>
      <c r="T681" s="1">
        <v>4.4410959999999999</v>
      </c>
      <c r="U681" s="3"/>
      <c r="V681" s="3"/>
      <c r="X681" s="1">
        <v>-189550</v>
      </c>
      <c r="Y681" s="22">
        <v>4.4410959999999999</v>
      </c>
      <c r="Z681" s="4">
        <f>Table1[[#This Row],[totalTimeKept]]*$AD$3</f>
        <v>66616.44</v>
      </c>
      <c r="AA681" s="4">
        <f>Y681-Z681</f>
        <v>-66611.998904000007</v>
      </c>
    </row>
    <row r="682" spans="1:27" x14ac:dyDescent="0.3">
      <c r="A682" s="1">
        <v>10619993</v>
      </c>
      <c r="B682" s="1" t="s">
        <v>1098</v>
      </c>
      <c r="C682" s="1" t="s">
        <v>665</v>
      </c>
      <c r="D682" s="1">
        <v>9707149</v>
      </c>
      <c r="E682" s="1">
        <v>0</v>
      </c>
      <c r="F682" s="1" t="s">
        <v>25</v>
      </c>
      <c r="G682" s="1" t="s">
        <v>46</v>
      </c>
      <c r="H682" s="2">
        <v>43496</v>
      </c>
      <c r="I682" s="2" t="s">
        <v>25</v>
      </c>
      <c r="J682" s="2">
        <v>44089</v>
      </c>
      <c r="K682" s="3"/>
      <c r="L682" s="3">
        <v>210000</v>
      </c>
      <c r="M682" s="3">
        <v>210000</v>
      </c>
      <c r="N682" s="1">
        <v>1</v>
      </c>
      <c r="O682" s="1">
        <v>0</v>
      </c>
      <c r="P682" s="1">
        <v>1</v>
      </c>
      <c r="Q682" s="3"/>
      <c r="R682" s="3"/>
      <c r="S682" s="3">
        <v>210000</v>
      </c>
      <c r="T682" s="1">
        <v>1.6246579999999999</v>
      </c>
      <c r="U682" s="3"/>
      <c r="V682" s="3"/>
      <c r="X682" s="1">
        <v>210000</v>
      </c>
      <c r="Y682" s="22">
        <v>1.6246579999999999</v>
      </c>
      <c r="Z682" s="4">
        <f>Table1[[#This Row],[totalTimeKept]]*$AD$3</f>
        <v>24369.87</v>
      </c>
      <c r="AA682" s="4">
        <f>Y682-Z682</f>
        <v>-24368.245341999998</v>
      </c>
    </row>
    <row r="683" spans="1:27" x14ac:dyDescent="0.3">
      <c r="A683" s="1">
        <v>10619995</v>
      </c>
      <c r="B683" s="1" t="s">
        <v>1099</v>
      </c>
      <c r="C683" s="1" t="s">
        <v>244</v>
      </c>
      <c r="D683" s="1">
        <v>8064031</v>
      </c>
      <c r="E683" s="1">
        <v>0</v>
      </c>
      <c r="F683" s="1" t="s">
        <v>25</v>
      </c>
      <c r="G683" s="1" t="s">
        <v>46</v>
      </c>
      <c r="H683" s="2">
        <v>43496</v>
      </c>
      <c r="I683" s="1" t="s">
        <v>25</v>
      </c>
      <c r="J683" s="2">
        <v>44087</v>
      </c>
      <c r="K683" s="3"/>
      <c r="L683" s="3">
        <v>425000</v>
      </c>
      <c r="M683" s="3">
        <v>425000</v>
      </c>
      <c r="N683" s="1">
        <v>1</v>
      </c>
      <c r="O683" s="1">
        <v>0</v>
      </c>
      <c r="P683" s="1">
        <v>1</v>
      </c>
      <c r="Q683" s="3"/>
      <c r="R683" s="3"/>
      <c r="S683" s="3">
        <v>425000</v>
      </c>
      <c r="T683" s="1">
        <v>1.619178</v>
      </c>
      <c r="U683" s="3"/>
      <c r="V683" s="3"/>
      <c r="X683" s="1">
        <v>425000</v>
      </c>
      <c r="Y683" s="22">
        <v>1.619178</v>
      </c>
      <c r="Z683" s="4">
        <f>Table1[[#This Row],[totalTimeKept]]*$AD$3</f>
        <v>24287.670000000002</v>
      </c>
      <c r="AA683" s="4">
        <f>Y683-Z683</f>
        <v>-24286.050822000001</v>
      </c>
    </row>
    <row r="684" spans="1:27" x14ac:dyDescent="0.3">
      <c r="A684" s="1">
        <v>10620001</v>
      </c>
      <c r="B684" s="1" t="s">
        <v>1100</v>
      </c>
      <c r="C684" s="1" t="s">
        <v>1101</v>
      </c>
      <c r="D684" s="1">
        <v>6879147</v>
      </c>
      <c r="E684" s="1">
        <v>0</v>
      </c>
      <c r="F684" s="1" t="s">
        <v>25</v>
      </c>
      <c r="G684" s="1" t="s">
        <v>349</v>
      </c>
      <c r="H684" s="2">
        <v>43514</v>
      </c>
      <c r="I684" s="2" t="s">
        <v>25</v>
      </c>
      <c r="J684" s="2">
        <v>43777</v>
      </c>
      <c r="K684" s="3"/>
      <c r="L684" s="3">
        <v>5000</v>
      </c>
      <c r="M684" s="3">
        <v>5000</v>
      </c>
      <c r="N684" s="1">
        <v>1</v>
      </c>
      <c r="O684" s="1">
        <v>0</v>
      </c>
      <c r="P684" s="1">
        <v>1</v>
      </c>
      <c r="Q684" s="3"/>
      <c r="R684" s="3"/>
      <c r="S684" s="3">
        <v>5000</v>
      </c>
      <c r="T684" s="1">
        <v>0.72054799999999997</v>
      </c>
      <c r="U684" s="3"/>
      <c r="V684" s="3"/>
      <c r="X684" s="1">
        <v>5000</v>
      </c>
      <c r="Y684" s="22">
        <v>0.72054799999999997</v>
      </c>
      <c r="Z684" s="4">
        <f>Table1[[#This Row],[totalTimeKept]]*$AD$3</f>
        <v>10808.22</v>
      </c>
      <c r="AA684" s="4">
        <f>Y684-Z684</f>
        <v>-10807.499452</v>
      </c>
    </row>
    <row r="685" spans="1:27" x14ac:dyDescent="0.3">
      <c r="A685" s="1">
        <v>10620006</v>
      </c>
      <c r="B685" s="1" t="s">
        <v>1102</v>
      </c>
      <c r="C685" s="1" t="s">
        <v>477</v>
      </c>
      <c r="D685" s="1">
        <v>6909698</v>
      </c>
      <c r="E685" s="1">
        <v>0</v>
      </c>
      <c r="F685" s="1" t="s">
        <v>25</v>
      </c>
      <c r="G685" s="1" t="s">
        <v>349</v>
      </c>
      <c r="H685" s="2">
        <v>43526</v>
      </c>
      <c r="I685" s="2" t="s">
        <v>25</v>
      </c>
      <c r="J685" s="2">
        <v>43775</v>
      </c>
      <c r="K685" s="3"/>
      <c r="L685" s="3">
        <v>335000</v>
      </c>
      <c r="M685" s="3">
        <v>335000</v>
      </c>
      <c r="N685" s="1">
        <v>1</v>
      </c>
      <c r="O685" s="1">
        <v>0</v>
      </c>
      <c r="P685" s="1">
        <v>1</v>
      </c>
      <c r="Q685" s="3"/>
      <c r="R685" s="3"/>
      <c r="S685" s="3">
        <v>335000</v>
      </c>
      <c r="T685" s="1">
        <v>0.68219180000000001</v>
      </c>
      <c r="U685" s="3"/>
      <c r="V685" s="3"/>
      <c r="X685" s="1">
        <v>335000</v>
      </c>
      <c r="Y685" s="22">
        <v>0.68219180000000001</v>
      </c>
      <c r="Z685" s="4">
        <f>Table1[[#This Row],[totalTimeKept]]*$AD$3</f>
        <v>10232.877</v>
      </c>
      <c r="AA685" s="4">
        <f>Y685-Z685</f>
        <v>-10232.1948082</v>
      </c>
    </row>
    <row r="686" spans="1:27" x14ac:dyDescent="0.3">
      <c r="A686" s="1">
        <v>10620007</v>
      </c>
      <c r="B686" s="1" t="s">
        <v>1103</v>
      </c>
      <c r="C686" s="1" t="s">
        <v>155</v>
      </c>
      <c r="D686" s="1">
        <v>7407961</v>
      </c>
      <c r="E686" s="1">
        <v>0</v>
      </c>
      <c r="F686" s="1" t="s">
        <v>25</v>
      </c>
      <c r="G686" s="1" t="s">
        <v>349</v>
      </c>
      <c r="H686" s="2">
        <v>43526</v>
      </c>
      <c r="I686" s="2" t="s">
        <v>25</v>
      </c>
      <c r="J686" s="2">
        <v>43779</v>
      </c>
      <c r="K686" s="3"/>
      <c r="L686" s="3">
        <v>48000</v>
      </c>
      <c r="M686" s="3">
        <v>48000</v>
      </c>
      <c r="N686" s="1">
        <v>1</v>
      </c>
      <c r="O686" s="1">
        <v>0</v>
      </c>
      <c r="P686" s="1">
        <v>1</v>
      </c>
      <c r="Q686" s="3"/>
      <c r="R686" s="3"/>
      <c r="S686" s="3">
        <v>48000</v>
      </c>
      <c r="T686" s="1">
        <v>0.69315070000000001</v>
      </c>
      <c r="U686" s="3"/>
      <c r="V686" s="3"/>
      <c r="X686" s="1">
        <v>48000</v>
      </c>
      <c r="Y686" s="22">
        <v>0.69315070000000001</v>
      </c>
      <c r="Z686" s="4">
        <f>Table1[[#This Row],[totalTimeKept]]*$AD$3</f>
        <v>10397.2605</v>
      </c>
      <c r="AA686" s="4">
        <f>Y686-Z686</f>
        <v>-10396.567349299999</v>
      </c>
    </row>
    <row r="687" spans="1:27" x14ac:dyDescent="0.3">
      <c r="A687" s="1">
        <v>10620010</v>
      </c>
      <c r="B687" s="1" t="s">
        <v>1104</v>
      </c>
      <c r="C687" s="1" t="s">
        <v>87</v>
      </c>
      <c r="D687" s="1">
        <v>6106367</v>
      </c>
      <c r="E687" s="1">
        <v>0</v>
      </c>
      <c r="F687" s="1" t="s">
        <v>25</v>
      </c>
      <c r="G687" s="1" t="s">
        <v>292</v>
      </c>
      <c r="H687" s="2">
        <v>43531</v>
      </c>
      <c r="I687" s="2" t="s">
        <v>25</v>
      </c>
      <c r="J687" s="2">
        <v>44356</v>
      </c>
      <c r="K687" s="3"/>
      <c r="L687" s="3">
        <v>12000</v>
      </c>
      <c r="M687" s="3">
        <v>12000</v>
      </c>
      <c r="N687" s="1">
        <v>1</v>
      </c>
      <c r="O687" s="1">
        <v>0</v>
      </c>
      <c r="P687" s="1">
        <v>1</v>
      </c>
      <c r="Q687" s="3"/>
      <c r="R687" s="3"/>
      <c r="S687" s="3">
        <v>12000</v>
      </c>
      <c r="T687" s="1">
        <v>2.2602739999999999</v>
      </c>
      <c r="U687" s="3"/>
      <c r="V687" s="3"/>
      <c r="X687" s="1">
        <v>12000</v>
      </c>
      <c r="Y687" s="22">
        <v>2.2602739999999999</v>
      </c>
      <c r="Z687" s="4">
        <f>Table1[[#This Row],[totalTimeKept]]*$AD$3</f>
        <v>33904.11</v>
      </c>
      <c r="AA687" s="4">
        <f>Y687-Z687</f>
        <v>-33901.849726</v>
      </c>
    </row>
    <row r="688" spans="1:27" x14ac:dyDescent="0.3">
      <c r="A688" s="1">
        <v>10620011</v>
      </c>
      <c r="B688" s="1" t="s">
        <v>1105</v>
      </c>
      <c r="C688" s="1" t="s">
        <v>154</v>
      </c>
      <c r="D688" s="1">
        <v>7380864</v>
      </c>
      <c r="E688" s="1">
        <v>0</v>
      </c>
      <c r="F688" s="1" t="s">
        <v>25</v>
      </c>
      <c r="G688" s="1" t="s">
        <v>46</v>
      </c>
      <c r="H688" s="2">
        <v>43540</v>
      </c>
      <c r="I688" s="2" t="s">
        <v>25</v>
      </c>
      <c r="J688" s="2">
        <v>44089</v>
      </c>
      <c r="K688" s="3"/>
      <c r="L688" s="3">
        <v>370000</v>
      </c>
      <c r="M688" s="3">
        <v>370000</v>
      </c>
      <c r="N688" s="1">
        <v>1</v>
      </c>
      <c r="O688" s="1">
        <v>0</v>
      </c>
      <c r="P688" s="1">
        <v>1</v>
      </c>
      <c r="Q688" s="3"/>
      <c r="R688" s="3"/>
      <c r="S688" s="3">
        <v>370000</v>
      </c>
      <c r="T688" s="1">
        <v>1.5041100000000001</v>
      </c>
      <c r="U688" s="3"/>
      <c r="V688" s="3"/>
      <c r="X688" s="1">
        <v>370000</v>
      </c>
      <c r="Y688" s="22">
        <v>1.5041100000000001</v>
      </c>
      <c r="Z688" s="4">
        <f>Table1[[#This Row],[totalTimeKept]]*$AD$3</f>
        <v>22561.65</v>
      </c>
      <c r="AA688" s="4">
        <f>Y688-Z688</f>
        <v>-22560.14589</v>
      </c>
    </row>
    <row r="689" spans="1:27" x14ac:dyDescent="0.3">
      <c r="A689" s="1">
        <v>10620399</v>
      </c>
      <c r="B689" s="1" t="s">
        <v>1106</v>
      </c>
      <c r="C689" s="1" t="s">
        <v>40</v>
      </c>
      <c r="D689" s="1">
        <v>4297755</v>
      </c>
      <c r="E689" s="1">
        <v>0</v>
      </c>
      <c r="F689" s="1" t="s">
        <v>25</v>
      </c>
      <c r="G689" s="1" t="s">
        <v>46</v>
      </c>
      <c r="H689" s="2">
        <v>43588</v>
      </c>
      <c r="I689" s="2" t="s">
        <v>25</v>
      </c>
      <c r="J689" s="2">
        <v>44094</v>
      </c>
      <c r="K689" s="3"/>
      <c r="L689" s="3">
        <v>8000</v>
      </c>
      <c r="M689" s="3">
        <v>8000</v>
      </c>
      <c r="N689" s="1">
        <v>1</v>
      </c>
      <c r="O689" s="1">
        <v>0</v>
      </c>
      <c r="P689" s="1">
        <v>1</v>
      </c>
      <c r="Q689" s="3"/>
      <c r="R689" s="3"/>
      <c r="S689" s="3">
        <v>8000</v>
      </c>
      <c r="T689" s="1">
        <v>1.386301</v>
      </c>
      <c r="U689" s="3"/>
      <c r="V689" s="3"/>
      <c r="X689" s="1">
        <v>8000</v>
      </c>
      <c r="Y689" s="22">
        <v>1.386301</v>
      </c>
      <c r="Z689" s="4">
        <f>Table1[[#This Row],[totalTimeKept]]*$AD$3</f>
        <v>20794.514999999999</v>
      </c>
      <c r="AA689" s="4">
        <f>Y689-Z689</f>
        <v>-20793.128699000001</v>
      </c>
    </row>
    <row r="690" spans="1:27" x14ac:dyDescent="0.3">
      <c r="A690" s="1">
        <v>10622116</v>
      </c>
      <c r="B690" s="1" t="s">
        <v>1107</v>
      </c>
      <c r="C690" s="1" t="s">
        <v>1108</v>
      </c>
      <c r="D690" s="1">
        <v>9070941</v>
      </c>
      <c r="E690" s="1">
        <v>362000</v>
      </c>
      <c r="F690" s="1" t="s">
        <v>46</v>
      </c>
      <c r="G690" s="1" t="s">
        <v>25</v>
      </c>
      <c r="H690" s="2">
        <v>43581</v>
      </c>
      <c r="I690" s="2">
        <v>44089</v>
      </c>
      <c r="J690" s="1" t="s">
        <v>25</v>
      </c>
      <c r="K690" s="3">
        <v>385000</v>
      </c>
      <c r="L690" s="3"/>
      <c r="M690" s="3">
        <v>-385000</v>
      </c>
      <c r="N690" s="1">
        <v>0</v>
      </c>
      <c r="O690" s="1">
        <v>1</v>
      </c>
      <c r="P690" s="1">
        <v>0</v>
      </c>
      <c r="Q690" s="3"/>
      <c r="R690" s="3"/>
      <c r="S690" s="3">
        <v>-23000</v>
      </c>
      <c r="T690" s="1">
        <v>4.427397</v>
      </c>
      <c r="U690" s="3"/>
      <c r="V690" s="3"/>
      <c r="X690" s="1">
        <v>-23000</v>
      </c>
      <c r="Y690" s="22">
        <v>4.427397</v>
      </c>
      <c r="Z690" s="4">
        <f>Table1[[#This Row],[totalTimeKept]]*$AD$3</f>
        <v>66410.955000000002</v>
      </c>
      <c r="AA690" s="4">
        <f>Y690-Z690</f>
        <v>-66406.527602999995</v>
      </c>
    </row>
    <row r="691" spans="1:27" x14ac:dyDescent="0.3">
      <c r="A691" s="1">
        <v>10622603</v>
      </c>
      <c r="B691" s="1" t="s">
        <v>1109</v>
      </c>
      <c r="C691" s="1" t="s">
        <v>593</v>
      </c>
      <c r="D691" s="1">
        <v>9509660</v>
      </c>
      <c r="E691" s="1">
        <v>0</v>
      </c>
      <c r="F691" s="1" t="s">
        <v>25</v>
      </c>
      <c r="G691" s="1" t="s">
        <v>46</v>
      </c>
      <c r="H691" s="2">
        <v>43546</v>
      </c>
      <c r="I691" s="2" t="s">
        <v>25</v>
      </c>
      <c r="J691" s="2">
        <v>44131</v>
      </c>
      <c r="K691" s="3"/>
      <c r="L691" s="3">
        <v>175000</v>
      </c>
      <c r="M691" s="3">
        <v>175000</v>
      </c>
      <c r="N691" s="1">
        <v>1</v>
      </c>
      <c r="O691" s="1">
        <v>0</v>
      </c>
      <c r="P691" s="1">
        <v>1</v>
      </c>
      <c r="Q691" s="3"/>
      <c r="R691" s="3"/>
      <c r="S691" s="3">
        <v>175000</v>
      </c>
      <c r="T691" s="1">
        <v>1.6027400000000001</v>
      </c>
      <c r="U691" s="3"/>
      <c r="V691" s="3"/>
      <c r="X691" s="1">
        <v>175000</v>
      </c>
      <c r="Y691" s="22">
        <v>1.6027400000000001</v>
      </c>
      <c r="Z691" s="4">
        <f>Table1[[#This Row],[totalTimeKept]]*$AD$3</f>
        <v>24041.100000000002</v>
      </c>
      <c r="AA691" s="4">
        <f>Y691-Z691</f>
        <v>-24039.497260000004</v>
      </c>
    </row>
    <row r="692" spans="1:27" x14ac:dyDescent="0.3">
      <c r="A692" s="1">
        <v>10623326</v>
      </c>
      <c r="B692" s="1" t="s">
        <v>1110</v>
      </c>
      <c r="C692" s="1" t="s">
        <v>57</v>
      </c>
      <c r="D692" s="1">
        <v>4630395</v>
      </c>
      <c r="E692" s="1">
        <v>0</v>
      </c>
      <c r="F692" s="1" t="s">
        <v>25</v>
      </c>
      <c r="G692" s="1" t="s">
        <v>292</v>
      </c>
      <c r="H692" s="2">
        <v>43594</v>
      </c>
      <c r="I692" s="2" t="s">
        <v>25</v>
      </c>
      <c r="J692" s="2">
        <v>44306</v>
      </c>
      <c r="K692" s="3"/>
      <c r="L692" s="3">
        <v>425000</v>
      </c>
      <c r="M692" s="3">
        <v>425000</v>
      </c>
      <c r="N692" s="1">
        <v>1</v>
      </c>
      <c r="O692" s="1">
        <v>0</v>
      </c>
      <c r="P692" s="1">
        <v>1</v>
      </c>
      <c r="Q692" s="3"/>
      <c r="R692" s="3"/>
      <c r="S692" s="3">
        <v>425000</v>
      </c>
      <c r="T692" s="1">
        <v>1.950685</v>
      </c>
      <c r="U692" s="3"/>
      <c r="V692" s="3"/>
      <c r="X692" s="1">
        <v>425000</v>
      </c>
      <c r="Y692" s="22">
        <v>1.950685</v>
      </c>
      <c r="Z692" s="4">
        <f>Table1[[#This Row],[totalTimeKept]]*$AD$3</f>
        <v>29260.275000000001</v>
      </c>
      <c r="AA692" s="4">
        <f>Y692-Z692</f>
        <v>-29258.324315000002</v>
      </c>
    </row>
    <row r="693" spans="1:27" x14ac:dyDescent="0.3">
      <c r="A693" s="1">
        <v>10623329</v>
      </c>
      <c r="B693" s="1" t="s">
        <v>1111</v>
      </c>
      <c r="C693" s="1" t="s">
        <v>821</v>
      </c>
      <c r="D693" s="1">
        <v>5353547</v>
      </c>
      <c r="E693" s="1">
        <v>0</v>
      </c>
      <c r="F693" s="1" t="s">
        <v>25</v>
      </c>
      <c r="G693" s="1" t="s">
        <v>46</v>
      </c>
      <c r="H693" s="2">
        <v>43602</v>
      </c>
      <c r="I693" s="2" t="s">
        <v>25</v>
      </c>
      <c r="J693" s="2">
        <v>44093</v>
      </c>
      <c r="K693" s="3"/>
      <c r="L693" s="3">
        <v>45000</v>
      </c>
      <c r="M693" s="3">
        <v>45000</v>
      </c>
      <c r="N693" s="1">
        <v>1</v>
      </c>
      <c r="O693" s="1">
        <v>0</v>
      </c>
      <c r="P693" s="1">
        <v>1</v>
      </c>
      <c r="Q693" s="3"/>
      <c r="R693" s="3"/>
      <c r="S693" s="3">
        <v>45000</v>
      </c>
      <c r="T693" s="1">
        <v>1.345205</v>
      </c>
      <c r="U693" s="3"/>
      <c r="V693" s="3"/>
      <c r="X693" s="1">
        <v>45000</v>
      </c>
      <c r="Y693" s="22">
        <v>1.345205</v>
      </c>
      <c r="Z693" s="4">
        <f>Table1[[#This Row],[totalTimeKept]]*$AD$3</f>
        <v>20178.075000000001</v>
      </c>
      <c r="AA693" s="4">
        <f>Y693-Z693</f>
        <v>-20176.729794999999</v>
      </c>
    </row>
    <row r="694" spans="1:27" x14ac:dyDescent="0.3">
      <c r="A694" s="1">
        <v>10623330</v>
      </c>
      <c r="B694" s="1" t="s">
        <v>1112</v>
      </c>
      <c r="C694" s="1" t="s">
        <v>862</v>
      </c>
      <c r="D694" s="1">
        <v>9339875</v>
      </c>
      <c r="E694" s="1">
        <v>0</v>
      </c>
      <c r="F694" s="1" t="s">
        <v>25</v>
      </c>
      <c r="G694" s="1" t="s">
        <v>46</v>
      </c>
      <c r="H694" s="2">
        <v>43604</v>
      </c>
      <c r="I694" s="2" t="s">
        <v>25</v>
      </c>
      <c r="J694" s="2">
        <v>44093</v>
      </c>
      <c r="K694" s="3"/>
      <c r="L694" s="3">
        <v>7000</v>
      </c>
      <c r="M694" s="3">
        <v>7000</v>
      </c>
      <c r="N694" s="1">
        <v>1</v>
      </c>
      <c r="O694" s="1">
        <v>0</v>
      </c>
      <c r="P694" s="1">
        <v>1</v>
      </c>
      <c r="Q694" s="3"/>
      <c r="R694" s="3"/>
      <c r="S694" s="3">
        <v>7000</v>
      </c>
      <c r="T694" s="1">
        <v>1.339726</v>
      </c>
      <c r="U694" s="3"/>
      <c r="V694" s="3"/>
      <c r="X694" s="1">
        <v>7000</v>
      </c>
      <c r="Y694" s="22">
        <v>1.339726</v>
      </c>
      <c r="Z694" s="4">
        <f>Table1[[#This Row],[totalTimeKept]]*$AD$3</f>
        <v>20095.89</v>
      </c>
      <c r="AA694" s="4">
        <f>Y694-Z694</f>
        <v>-20094.550274000001</v>
      </c>
    </row>
    <row r="695" spans="1:27" x14ac:dyDescent="0.3">
      <c r="A695" s="1">
        <v>10624120</v>
      </c>
      <c r="B695" s="1" t="s">
        <v>1113</v>
      </c>
      <c r="C695" s="1" t="s">
        <v>262</v>
      </c>
      <c r="D695" s="1">
        <v>8298077</v>
      </c>
      <c r="E695" s="1">
        <v>0</v>
      </c>
      <c r="F695" s="1" t="s">
        <v>25</v>
      </c>
      <c r="G695" s="1" t="s">
        <v>46</v>
      </c>
      <c r="H695" s="2">
        <v>43560</v>
      </c>
      <c r="I695" s="2" t="s">
        <v>25</v>
      </c>
      <c r="J695" s="2">
        <v>44088</v>
      </c>
      <c r="K695" s="3"/>
      <c r="L695" s="3">
        <v>200000</v>
      </c>
      <c r="M695" s="3">
        <v>200000</v>
      </c>
      <c r="N695" s="1">
        <v>1</v>
      </c>
      <c r="O695" s="1">
        <v>0</v>
      </c>
      <c r="P695" s="1">
        <v>1</v>
      </c>
      <c r="Q695" s="3"/>
      <c r="R695" s="3"/>
      <c r="S695" s="3">
        <v>200000</v>
      </c>
      <c r="T695" s="1">
        <v>1.4465749999999999</v>
      </c>
      <c r="U695" s="3"/>
      <c r="V695" s="3"/>
      <c r="X695" s="1">
        <v>200000</v>
      </c>
      <c r="Y695" s="22">
        <v>1.4465749999999999</v>
      </c>
      <c r="Z695" s="4">
        <f>Table1[[#This Row],[totalTimeKept]]*$AD$3</f>
        <v>21698.625</v>
      </c>
      <c r="AA695" s="4">
        <f>Y695-Z695</f>
        <v>-21697.178424999998</v>
      </c>
    </row>
    <row r="696" spans="1:27" x14ac:dyDescent="0.3">
      <c r="A696" s="1">
        <v>10624302</v>
      </c>
      <c r="B696" s="1" t="s">
        <v>1114</v>
      </c>
      <c r="C696" s="1" t="s">
        <v>1115</v>
      </c>
      <c r="D696" s="1">
        <v>9330684</v>
      </c>
      <c r="E696" s="1">
        <v>81890</v>
      </c>
      <c r="F696" s="1" t="s">
        <v>46</v>
      </c>
      <c r="G696" s="1" t="s">
        <v>25</v>
      </c>
      <c r="H696" s="2">
        <v>43604</v>
      </c>
      <c r="I696" s="2">
        <v>44084</v>
      </c>
      <c r="J696" s="1" t="s">
        <v>25</v>
      </c>
      <c r="K696" s="3">
        <v>150000</v>
      </c>
      <c r="L696" s="3"/>
      <c r="M696" s="3">
        <v>-150000</v>
      </c>
      <c r="N696" s="1">
        <v>0</v>
      </c>
      <c r="O696" s="1">
        <v>1</v>
      </c>
      <c r="P696" s="1">
        <v>0</v>
      </c>
      <c r="Q696" s="3"/>
      <c r="R696" s="3"/>
      <c r="S696" s="3">
        <v>-68110</v>
      </c>
      <c r="T696" s="1">
        <v>4.4410959999999999</v>
      </c>
      <c r="U696" s="3"/>
      <c r="V696" s="3"/>
      <c r="X696" s="1">
        <v>-68110</v>
      </c>
      <c r="Y696" s="22">
        <v>4.4410959999999999</v>
      </c>
      <c r="Z696" s="4">
        <f>Table1[[#This Row],[totalTimeKept]]*$AD$3</f>
        <v>66616.44</v>
      </c>
      <c r="AA696" s="4">
        <f>Y696-Z696</f>
        <v>-66611.998904000007</v>
      </c>
    </row>
    <row r="697" spans="1:27" x14ac:dyDescent="0.3">
      <c r="A697" s="1">
        <v>10624980</v>
      </c>
      <c r="B697" s="1" t="s">
        <v>1116</v>
      </c>
      <c r="C697" s="1" t="s">
        <v>564</v>
      </c>
      <c r="D697" s="1">
        <v>4630264</v>
      </c>
      <c r="E697" s="1">
        <v>0</v>
      </c>
      <c r="F697" s="1" t="s">
        <v>25</v>
      </c>
      <c r="G697" s="1" t="s">
        <v>46</v>
      </c>
      <c r="H697" s="2">
        <v>43593</v>
      </c>
      <c r="I697" s="2" t="s">
        <v>25</v>
      </c>
      <c r="J697" s="2">
        <v>43871</v>
      </c>
      <c r="K697" s="3"/>
      <c r="L697" s="3">
        <v>6000</v>
      </c>
      <c r="M697" s="3">
        <v>6000</v>
      </c>
      <c r="N697" s="1">
        <v>1</v>
      </c>
      <c r="O697" s="1">
        <v>0</v>
      </c>
      <c r="P697" s="1">
        <v>1</v>
      </c>
      <c r="Q697" s="3"/>
      <c r="R697" s="3"/>
      <c r="S697" s="3">
        <v>6000</v>
      </c>
      <c r="T697" s="1">
        <v>0.76164379999999998</v>
      </c>
      <c r="U697" s="3"/>
      <c r="V697" s="3"/>
      <c r="X697" s="1">
        <v>6000</v>
      </c>
      <c r="Y697" s="22">
        <v>0.76164379999999998</v>
      </c>
      <c r="Z697" s="4">
        <f>Table1[[#This Row],[totalTimeKept]]*$AD$3</f>
        <v>11424.656999999999</v>
      </c>
      <c r="AA697" s="4">
        <f>Y697-Z697</f>
        <v>-11423.895356199999</v>
      </c>
    </row>
    <row r="698" spans="1:27" x14ac:dyDescent="0.3">
      <c r="A698" s="1">
        <v>10624983</v>
      </c>
      <c r="B698" s="1" t="s">
        <v>1117</v>
      </c>
      <c r="C698" s="1" t="s">
        <v>183</v>
      </c>
      <c r="D698" s="1">
        <v>7688041</v>
      </c>
      <c r="E698" s="1">
        <v>0</v>
      </c>
      <c r="F698" s="1" t="s">
        <v>25</v>
      </c>
      <c r="G698" s="1" t="s">
        <v>46</v>
      </c>
      <c r="H698" s="2">
        <v>43586</v>
      </c>
      <c r="I698" s="2" t="s">
        <v>25</v>
      </c>
      <c r="J698" s="2">
        <v>44132</v>
      </c>
      <c r="K698" s="3"/>
      <c r="L698" s="3">
        <v>32000</v>
      </c>
      <c r="M698" s="3">
        <v>32000</v>
      </c>
      <c r="N698" s="1">
        <v>1</v>
      </c>
      <c r="O698" s="1">
        <v>0</v>
      </c>
      <c r="P698" s="1">
        <v>1</v>
      </c>
      <c r="Q698" s="3"/>
      <c r="R698" s="3"/>
      <c r="S698" s="3">
        <v>32000</v>
      </c>
      <c r="T698" s="1">
        <v>1.4958899999999999</v>
      </c>
      <c r="U698" s="3"/>
      <c r="V698" s="3"/>
      <c r="X698" s="1">
        <v>32000</v>
      </c>
      <c r="Y698" s="22">
        <v>1.4958899999999999</v>
      </c>
      <c r="Z698" s="4">
        <f>Table1[[#This Row],[totalTimeKept]]*$AD$3</f>
        <v>22438.35</v>
      </c>
      <c r="AA698" s="4">
        <f>Y698-Z698</f>
        <v>-22436.85411</v>
      </c>
    </row>
    <row r="699" spans="1:27" x14ac:dyDescent="0.3">
      <c r="A699" s="1">
        <v>10624986</v>
      </c>
      <c r="B699" s="1" t="s">
        <v>1118</v>
      </c>
      <c r="C699" s="1" t="s">
        <v>197</v>
      </c>
      <c r="D699" s="1">
        <v>7730273</v>
      </c>
      <c r="E699" s="1">
        <v>0</v>
      </c>
      <c r="F699" s="1" t="s">
        <v>25</v>
      </c>
      <c r="G699" s="1" t="s">
        <v>46</v>
      </c>
      <c r="H699" s="2">
        <v>43593</v>
      </c>
      <c r="I699" s="1" t="s">
        <v>25</v>
      </c>
      <c r="J699" s="2">
        <v>44084</v>
      </c>
      <c r="K699" s="3"/>
      <c r="L699" s="3">
        <v>175000</v>
      </c>
      <c r="M699" s="3">
        <v>175000</v>
      </c>
      <c r="N699" s="1">
        <v>1</v>
      </c>
      <c r="O699" s="1">
        <v>0</v>
      </c>
      <c r="P699" s="1">
        <v>1</v>
      </c>
      <c r="Q699" s="3"/>
      <c r="R699" s="3"/>
      <c r="S699" s="3">
        <v>175000</v>
      </c>
      <c r="T699" s="1">
        <v>1.345205</v>
      </c>
      <c r="U699" s="3"/>
      <c r="V699" s="3"/>
      <c r="X699" s="1">
        <v>175000</v>
      </c>
      <c r="Y699" s="22">
        <v>1.345205</v>
      </c>
      <c r="Z699" s="4">
        <f>Table1[[#This Row],[totalTimeKept]]*$AD$3</f>
        <v>20178.075000000001</v>
      </c>
      <c r="AA699" s="4">
        <f>Y699-Z699</f>
        <v>-20176.729794999999</v>
      </c>
    </row>
    <row r="700" spans="1:27" x14ac:dyDescent="0.3">
      <c r="A700" s="1">
        <v>10624987</v>
      </c>
      <c r="B700" s="1" t="s">
        <v>1119</v>
      </c>
      <c r="C700" s="1" t="s">
        <v>175</v>
      </c>
      <c r="D700" s="1">
        <v>7493049</v>
      </c>
      <c r="E700" s="1">
        <v>0</v>
      </c>
      <c r="F700" s="1" t="s">
        <v>25</v>
      </c>
      <c r="G700" s="1" t="s">
        <v>349</v>
      </c>
      <c r="H700" s="2">
        <v>43571</v>
      </c>
      <c r="I700" s="2" t="s">
        <v>25</v>
      </c>
      <c r="J700" s="2">
        <v>43776</v>
      </c>
      <c r="K700" s="3"/>
      <c r="L700" s="3">
        <v>130000</v>
      </c>
      <c r="M700" s="3">
        <v>130000</v>
      </c>
      <c r="N700" s="1">
        <v>1</v>
      </c>
      <c r="O700" s="1">
        <v>0</v>
      </c>
      <c r="P700" s="1">
        <v>1</v>
      </c>
      <c r="Q700" s="3"/>
      <c r="R700" s="3"/>
      <c r="S700" s="3">
        <v>130000</v>
      </c>
      <c r="T700" s="1">
        <v>0.56164380000000003</v>
      </c>
      <c r="U700" s="3"/>
      <c r="V700" s="3"/>
      <c r="X700" s="1">
        <v>130000</v>
      </c>
      <c r="Y700" s="22">
        <v>0.56164380000000003</v>
      </c>
      <c r="Z700" s="4">
        <f>Table1[[#This Row],[totalTimeKept]]*$AD$3</f>
        <v>8424.6570000000011</v>
      </c>
      <c r="AA700" s="4">
        <f>Y700-Z700</f>
        <v>-8424.0953562000013</v>
      </c>
    </row>
    <row r="701" spans="1:27" x14ac:dyDescent="0.3">
      <c r="A701" s="1">
        <v>10625741</v>
      </c>
      <c r="B701" s="1" t="s">
        <v>1120</v>
      </c>
      <c r="C701" s="1" t="s">
        <v>1121</v>
      </c>
      <c r="D701" s="1">
        <v>8578237</v>
      </c>
      <c r="E701" s="1">
        <v>95050</v>
      </c>
      <c r="F701" s="1" t="s">
        <v>46</v>
      </c>
      <c r="G701" s="1" t="s">
        <v>846</v>
      </c>
      <c r="H701" s="2">
        <v>43599</v>
      </c>
      <c r="I701" s="2">
        <v>44088</v>
      </c>
      <c r="J701" s="2">
        <v>44882</v>
      </c>
      <c r="K701" s="3">
        <v>625000</v>
      </c>
      <c r="L701" s="3">
        <v>200000</v>
      </c>
      <c r="M701" s="3">
        <v>-425000</v>
      </c>
      <c r="N701" s="1">
        <v>0</v>
      </c>
      <c r="O701" s="1">
        <v>1</v>
      </c>
      <c r="P701" s="1">
        <v>1</v>
      </c>
      <c r="Q701" s="3"/>
      <c r="R701" s="3"/>
      <c r="S701" s="3">
        <v>-329950</v>
      </c>
      <c r="T701" s="1">
        <v>2.1753429999999998</v>
      </c>
      <c r="U701" s="3"/>
      <c r="V701" s="3"/>
      <c r="X701" s="1">
        <v>-329950</v>
      </c>
      <c r="Y701" s="22">
        <v>2.1753429999999998</v>
      </c>
      <c r="Z701" s="4">
        <f>Table1[[#This Row],[totalTimeKept]]*$AD$3</f>
        <v>32630.144999999997</v>
      </c>
      <c r="AA701" s="4">
        <f>Y701-Z701</f>
        <v>-32627.969656999998</v>
      </c>
    </row>
    <row r="702" spans="1:27" x14ac:dyDescent="0.3">
      <c r="A702" s="1">
        <v>10625932</v>
      </c>
      <c r="B702" s="1" t="s">
        <v>1122</v>
      </c>
      <c r="C702" s="1" t="s">
        <v>874</v>
      </c>
      <c r="D702" s="1">
        <v>7758346</v>
      </c>
      <c r="E702" s="1">
        <v>33750</v>
      </c>
      <c r="F702" s="1" t="s">
        <v>25</v>
      </c>
      <c r="G702" s="1" t="s">
        <v>24</v>
      </c>
      <c r="H702" s="2">
        <v>43572</v>
      </c>
      <c r="I702" s="2" t="s">
        <v>25</v>
      </c>
      <c r="J702" s="2">
        <v>45238</v>
      </c>
      <c r="K702" s="3"/>
      <c r="L702" s="3">
        <v>425000</v>
      </c>
      <c r="M702" s="3">
        <v>425000</v>
      </c>
      <c r="N702" s="1">
        <v>1</v>
      </c>
      <c r="O702" s="1">
        <v>0</v>
      </c>
      <c r="P702" s="1">
        <v>1</v>
      </c>
      <c r="Q702" s="3"/>
      <c r="R702" s="3"/>
      <c r="S702" s="3">
        <v>458750</v>
      </c>
      <c r="T702" s="1">
        <v>4.5643840000000004</v>
      </c>
      <c r="U702" s="3"/>
      <c r="V702" s="3"/>
      <c r="X702" s="1">
        <v>458750</v>
      </c>
      <c r="Y702" s="22">
        <v>4.5643840000000004</v>
      </c>
      <c r="Z702" s="4">
        <f>Table1[[#This Row],[totalTimeKept]]*$AD$3</f>
        <v>68465.760000000009</v>
      </c>
      <c r="AA702" s="4">
        <f>Y702-Z702</f>
        <v>-68461.195616000012</v>
      </c>
    </row>
    <row r="703" spans="1:27" x14ac:dyDescent="0.3">
      <c r="A703" s="1">
        <v>10625943</v>
      </c>
      <c r="B703" s="1" t="s">
        <v>1123</v>
      </c>
      <c r="C703" s="1" t="s">
        <v>95</v>
      </c>
      <c r="D703" s="1">
        <v>6397901</v>
      </c>
      <c r="E703" s="1">
        <v>0</v>
      </c>
      <c r="F703" s="1" t="s">
        <v>25</v>
      </c>
      <c r="G703" s="1" t="s">
        <v>46</v>
      </c>
      <c r="H703" s="2">
        <v>43583</v>
      </c>
      <c r="I703" s="2" t="s">
        <v>25</v>
      </c>
      <c r="J703" s="2">
        <v>44119</v>
      </c>
      <c r="K703" s="3"/>
      <c r="L703" s="3">
        <v>27325</v>
      </c>
      <c r="M703" s="3">
        <v>27325</v>
      </c>
      <c r="N703" s="1">
        <v>1</v>
      </c>
      <c r="O703" s="1">
        <v>0</v>
      </c>
      <c r="P703" s="1">
        <v>1</v>
      </c>
      <c r="Q703" s="3"/>
      <c r="R703" s="3"/>
      <c r="S703" s="3">
        <v>27325</v>
      </c>
      <c r="T703" s="1">
        <v>1.468493</v>
      </c>
      <c r="U703" s="3"/>
      <c r="V703" s="3"/>
      <c r="X703" s="1">
        <v>27325</v>
      </c>
      <c r="Y703" s="22">
        <v>1.468493</v>
      </c>
      <c r="Z703" s="4">
        <f>Table1[[#This Row],[totalTimeKept]]*$AD$3</f>
        <v>22027.395</v>
      </c>
      <c r="AA703" s="4">
        <f>Y703-Z703</f>
        <v>-22025.926507</v>
      </c>
    </row>
    <row r="704" spans="1:27" x14ac:dyDescent="0.3">
      <c r="A704" s="1">
        <v>10625949</v>
      </c>
      <c r="B704" s="1" t="s">
        <v>1124</v>
      </c>
      <c r="C704" s="1" t="s">
        <v>234</v>
      </c>
      <c r="D704" s="1">
        <v>8037393</v>
      </c>
      <c r="E704" s="1">
        <v>52250</v>
      </c>
      <c r="F704" s="1" t="s">
        <v>25</v>
      </c>
      <c r="G704" s="1" t="s">
        <v>24</v>
      </c>
      <c r="H704" s="2">
        <v>43584</v>
      </c>
      <c r="I704" s="2" t="s">
        <v>25</v>
      </c>
      <c r="J704" s="2">
        <v>45238</v>
      </c>
      <c r="K704" s="3"/>
      <c r="L704" s="3">
        <v>160000</v>
      </c>
      <c r="M704" s="3">
        <v>160000</v>
      </c>
      <c r="N704" s="1">
        <v>1</v>
      </c>
      <c r="O704" s="1">
        <v>0</v>
      </c>
      <c r="P704" s="1">
        <v>1</v>
      </c>
      <c r="Q704" s="3"/>
      <c r="R704" s="3"/>
      <c r="S704" s="3">
        <v>212250</v>
      </c>
      <c r="T704" s="1">
        <v>4.5315070000000004</v>
      </c>
      <c r="U704" s="3"/>
      <c r="V704" s="3"/>
      <c r="X704" s="1">
        <v>212250</v>
      </c>
      <c r="Y704" s="22">
        <v>4.5315070000000004</v>
      </c>
      <c r="Z704" s="4">
        <f>Table1[[#This Row],[totalTimeKept]]*$AD$3</f>
        <v>67972.60500000001</v>
      </c>
      <c r="AA704" s="4">
        <f>Y704-Z704</f>
        <v>-67968.073493000004</v>
      </c>
    </row>
    <row r="705" spans="1:27" x14ac:dyDescent="0.3">
      <c r="A705" s="1">
        <v>10625950</v>
      </c>
      <c r="B705" s="1" t="s">
        <v>1125</v>
      </c>
      <c r="C705" s="1" t="s">
        <v>316</v>
      </c>
      <c r="D705" s="1">
        <v>8603882</v>
      </c>
      <c r="E705" s="1">
        <v>0</v>
      </c>
      <c r="F705" s="1" t="s">
        <v>25</v>
      </c>
      <c r="G705" s="1" t="s">
        <v>24</v>
      </c>
      <c r="H705" s="2">
        <v>43584</v>
      </c>
      <c r="I705" s="2" t="s">
        <v>25</v>
      </c>
      <c r="J705" s="2">
        <v>44875</v>
      </c>
      <c r="K705" s="3"/>
      <c r="L705" s="3">
        <v>30000</v>
      </c>
      <c r="M705" s="3">
        <v>30000</v>
      </c>
      <c r="N705" s="1">
        <v>1</v>
      </c>
      <c r="O705" s="1">
        <v>0</v>
      </c>
      <c r="P705" s="1">
        <v>1</v>
      </c>
      <c r="Q705" s="3"/>
      <c r="R705" s="3"/>
      <c r="S705" s="3">
        <v>30000</v>
      </c>
      <c r="T705" s="1">
        <v>3.5369860000000002</v>
      </c>
      <c r="U705" s="3"/>
      <c r="V705" s="3"/>
      <c r="X705" s="1">
        <v>30000</v>
      </c>
      <c r="Y705" s="22">
        <v>3.5369860000000002</v>
      </c>
      <c r="Z705" s="4">
        <f>Table1[[#This Row],[totalTimeKept]]*$AD$3</f>
        <v>53054.79</v>
      </c>
      <c r="AA705" s="4">
        <f>Y705-Z705</f>
        <v>-53051.253014000002</v>
      </c>
    </row>
    <row r="706" spans="1:27" x14ac:dyDescent="0.3">
      <c r="A706" s="1">
        <v>10625951</v>
      </c>
      <c r="B706" s="1" t="s">
        <v>1126</v>
      </c>
      <c r="C706" s="1" t="s">
        <v>223</v>
      </c>
      <c r="D706" s="1">
        <v>7994285</v>
      </c>
      <c r="E706" s="1">
        <v>0</v>
      </c>
      <c r="F706" s="1" t="s">
        <v>25</v>
      </c>
      <c r="G706" s="1" t="s">
        <v>292</v>
      </c>
      <c r="H706" s="2">
        <v>43585</v>
      </c>
      <c r="I706" s="2" t="s">
        <v>25</v>
      </c>
      <c r="J706" s="2">
        <v>44309</v>
      </c>
      <c r="K706" s="3"/>
      <c r="L706" s="3">
        <v>20000</v>
      </c>
      <c r="M706" s="3">
        <v>20000</v>
      </c>
      <c r="N706" s="1">
        <v>1</v>
      </c>
      <c r="O706" s="1">
        <v>0</v>
      </c>
      <c r="P706" s="1">
        <v>1</v>
      </c>
      <c r="Q706" s="3"/>
      <c r="R706" s="3"/>
      <c r="S706" s="3">
        <v>20000</v>
      </c>
      <c r="T706" s="1">
        <v>1.983562</v>
      </c>
      <c r="U706" s="3"/>
      <c r="V706" s="3"/>
      <c r="X706" s="1">
        <v>20000</v>
      </c>
      <c r="Y706" s="22">
        <v>1.983562</v>
      </c>
      <c r="Z706" s="4">
        <f>Table1[[#This Row],[totalTimeKept]]*$AD$3</f>
        <v>29753.43</v>
      </c>
      <c r="AA706" s="4">
        <f>Y706-Z706</f>
        <v>-29751.446437999999</v>
      </c>
    </row>
    <row r="707" spans="1:27" x14ac:dyDescent="0.3">
      <c r="A707" s="1">
        <v>10628328</v>
      </c>
      <c r="B707" s="1" t="s">
        <v>1127</v>
      </c>
      <c r="C707" s="1" t="s">
        <v>1128</v>
      </c>
      <c r="D707" s="1">
        <v>8572257</v>
      </c>
      <c r="E707" s="1">
        <v>148300</v>
      </c>
      <c r="F707" s="1" t="s">
        <v>46</v>
      </c>
      <c r="G707" s="1" t="s">
        <v>846</v>
      </c>
      <c r="H707" s="2">
        <v>43605</v>
      </c>
      <c r="I707" s="2">
        <v>44090</v>
      </c>
      <c r="J707" s="2">
        <v>45046</v>
      </c>
      <c r="K707" s="3">
        <v>210000</v>
      </c>
      <c r="L707" s="3">
        <v>125000</v>
      </c>
      <c r="M707" s="3">
        <v>-85000</v>
      </c>
      <c r="N707" s="1">
        <v>0</v>
      </c>
      <c r="O707" s="1">
        <v>1</v>
      </c>
      <c r="P707" s="1">
        <v>1</v>
      </c>
      <c r="Q707" s="3"/>
      <c r="R707" s="3"/>
      <c r="S707" s="3">
        <v>63300</v>
      </c>
      <c r="T707" s="1">
        <v>2.6191779999999998</v>
      </c>
      <c r="U707" s="3"/>
      <c r="V707" s="3"/>
      <c r="X707" s="1">
        <v>63300</v>
      </c>
      <c r="Y707" s="22">
        <v>2.6191779999999998</v>
      </c>
      <c r="Z707" s="4">
        <f>Table1[[#This Row],[totalTimeKept]]*$AD$3</f>
        <v>39287.67</v>
      </c>
      <c r="AA707" s="4">
        <f>Y707-Z707</f>
        <v>-39285.050821999997</v>
      </c>
    </row>
    <row r="708" spans="1:27" x14ac:dyDescent="0.3">
      <c r="A708" s="1">
        <v>10635175</v>
      </c>
      <c r="B708" s="1" t="s">
        <v>1129</v>
      </c>
      <c r="C708" s="1" t="s">
        <v>1130</v>
      </c>
      <c r="D708" s="1">
        <v>9561894</v>
      </c>
      <c r="E708" s="1">
        <v>0</v>
      </c>
      <c r="F708" s="1" t="s">
        <v>46</v>
      </c>
      <c r="G708" s="1" t="s">
        <v>25</v>
      </c>
      <c r="H708" s="2">
        <v>43528</v>
      </c>
      <c r="I708" s="2">
        <v>44088</v>
      </c>
      <c r="J708" s="1" t="s">
        <v>25</v>
      </c>
      <c r="K708" s="3">
        <v>150000</v>
      </c>
      <c r="L708" s="3"/>
      <c r="M708" s="3">
        <v>-150000</v>
      </c>
      <c r="N708" s="1">
        <v>0</v>
      </c>
      <c r="O708" s="1">
        <v>1</v>
      </c>
      <c r="P708" s="1">
        <v>0</v>
      </c>
      <c r="Q708" s="3"/>
      <c r="R708" s="3"/>
      <c r="S708" s="3">
        <v>-150000</v>
      </c>
      <c r="T708" s="1">
        <v>4.4301370000000002</v>
      </c>
      <c r="U708" s="3"/>
      <c r="V708" s="3"/>
      <c r="X708" s="1">
        <v>-150000</v>
      </c>
      <c r="Y708" s="22">
        <v>4.4301370000000002</v>
      </c>
      <c r="Z708" s="4">
        <f>Table1[[#This Row],[totalTimeKept]]*$AD$3</f>
        <v>66452.055000000008</v>
      </c>
      <c r="AA708" s="4">
        <f>Y708-Z708</f>
        <v>-66447.624863000005</v>
      </c>
    </row>
    <row r="709" spans="1:27" x14ac:dyDescent="0.3">
      <c r="A709" s="1">
        <v>10637222</v>
      </c>
      <c r="B709" s="1" t="s">
        <v>1131</v>
      </c>
      <c r="C709" s="1" t="s">
        <v>161</v>
      </c>
      <c r="D709" s="1">
        <v>7443895</v>
      </c>
      <c r="E709" s="1">
        <v>0</v>
      </c>
      <c r="F709" s="1" t="s">
        <v>25</v>
      </c>
      <c r="G709" s="1" t="s">
        <v>349</v>
      </c>
      <c r="H709" s="2">
        <v>43555</v>
      </c>
      <c r="I709" s="2" t="s">
        <v>25</v>
      </c>
      <c r="J709" s="2">
        <v>43776</v>
      </c>
      <c r="K709" s="3"/>
      <c r="L709" s="3">
        <v>350000</v>
      </c>
      <c r="M709" s="3">
        <v>350000</v>
      </c>
      <c r="N709" s="1">
        <v>1</v>
      </c>
      <c r="O709" s="1">
        <v>0</v>
      </c>
      <c r="P709" s="1">
        <v>1</v>
      </c>
      <c r="Q709" s="3"/>
      <c r="R709" s="3"/>
      <c r="S709" s="3">
        <v>350000</v>
      </c>
      <c r="T709" s="1">
        <v>0.60547949999999995</v>
      </c>
      <c r="U709" s="3"/>
      <c r="V709" s="3"/>
      <c r="X709" s="1">
        <v>350000</v>
      </c>
      <c r="Y709" s="22">
        <v>0.60547949999999995</v>
      </c>
      <c r="Z709" s="4">
        <f>Table1[[#This Row],[totalTimeKept]]*$AD$3</f>
        <v>9082.1924999999992</v>
      </c>
      <c r="AA709" s="4">
        <f>Y709-Z709</f>
        <v>-9081.5870204999992</v>
      </c>
    </row>
    <row r="710" spans="1:27" x14ac:dyDescent="0.3">
      <c r="A710" s="1">
        <v>10637234</v>
      </c>
      <c r="B710" s="1" t="s">
        <v>1132</v>
      </c>
      <c r="C710" s="1" t="s">
        <v>225</v>
      </c>
      <c r="D710" s="1">
        <v>7996279</v>
      </c>
      <c r="E710" s="1">
        <v>0</v>
      </c>
      <c r="F710" s="1" t="s">
        <v>25</v>
      </c>
      <c r="G710" s="1" t="s">
        <v>349</v>
      </c>
      <c r="H710" s="2">
        <v>43543</v>
      </c>
      <c r="I710" s="2" t="s">
        <v>25</v>
      </c>
      <c r="J710" s="2">
        <v>43778</v>
      </c>
      <c r="K710" s="3"/>
      <c r="L710" s="3">
        <v>220000</v>
      </c>
      <c r="M710" s="3">
        <v>220000</v>
      </c>
      <c r="N710" s="1">
        <v>1</v>
      </c>
      <c r="O710" s="1">
        <v>0</v>
      </c>
      <c r="P710" s="1">
        <v>1</v>
      </c>
      <c r="Q710" s="3"/>
      <c r="R710" s="3"/>
      <c r="S710" s="3">
        <v>220000</v>
      </c>
      <c r="T710" s="1">
        <v>0.64383559999999995</v>
      </c>
      <c r="U710" s="3"/>
      <c r="V710" s="3"/>
      <c r="X710" s="1">
        <v>220000</v>
      </c>
      <c r="Y710" s="22">
        <v>0.64383559999999995</v>
      </c>
      <c r="Z710" s="4">
        <f>Table1[[#This Row],[totalTimeKept]]*$AD$3</f>
        <v>9657.5339999999997</v>
      </c>
      <c r="AA710" s="4">
        <f>Y710-Z710</f>
        <v>-9656.8901643999998</v>
      </c>
    </row>
    <row r="711" spans="1:27" x14ac:dyDescent="0.3">
      <c r="A711" s="1">
        <v>10637240</v>
      </c>
      <c r="B711" s="1" t="s">
        <v>1133</v>
      </c>
      <c r="C711" s="1" t="s">
        <v>191</v>
      </c>
      <c r="D711" s="1">
        <v>7704649</v>
      </c>
      <c r="E711" s="1">
        <v>0</v>
      </c>
      <c r="F711" s="1" t="s">
        <v>25</v>
      </c>
      <c r="G711" s="1" t="s">
        <v>46</v>
      </c>
      <c r="H711" s="2">
        <v>43587</v>
      </c>
      <c r="I711" s="2" t="s">
        <v>25</v>
      </c>
      <c r="J711" s="2">
        <v>44091</v>
      </c>
      <c r="K711" s="3"/>
      <c r="L711" s="3">
        <v>100000</v>
      </c>
      <c r="M711" s="3">
        <v>100000</v>
      </c>
      <c r="N711" s="1">
        <v>1</v>
      </c>
      <c r="O711" s="1">
        <v>0</v>
      </c>
      <c r="P711" s="1">
        <v>1</v>
      </c>
      <c r="Q711" s="3"/>
      <c r="R711" s="3"/>
      <c r="S711" s="3">
        <v>100000</v>
      </c>
      <c r="T711" s="1">
        <v>1.380822</v>
      </c>
      <c r="U711" s="3"/>
      <c r="V711" s="3"/>
      <c r="X711" s="1">
        <v>100000</v>
      </c>
      <c r="Y711" s="22">
        <v>1.380822</v>
      </c>
      <c r="Z711" s="4">
        <f>Table1[[#This Row],[totalTimeKept]]*$AD$3</f>
        <v>20712.329999999998</v>
      </c>
      <c r="AA711" s="4">
        <f>Y711-Z711</f>
        <v>-20710.949177999999</v>
      </c>
    </row>
    <row r="712" spans="1:27" x14ac:dyDescent="0.3">
      <c r="A712" s="1">
        <v>10639423</v>
      </c>
      <c r="B712" s="1" t="s">
        <v>1134</v>
      </c>
      <c r="C712" s="1" t="s">
        <v>424</v>
      </c>
      <c r="D712" s="1">
        <v>9103805</v>
      </c>
      <c r="E712" s="1">
        <v>147450</v>
      </c>
      <c r="F712" s="1" t="s">
        <v>25</v>
      </c>
      <c r="G712" s="1" t="s">
        <v>25</v>
      </c>
      <c r="H712" s="2">
        <v>43589</v>
      </c>
      <c r="I712" s="2" t="s">
        <v>25</v>
      </c>
      <c r="J712" s="1" t="s">
        <v>25</v>
      </c>
      <c r="K712" s="3"/>
      <c r="L712" s="3"/>
      <c r="M712" s="3">
        <v>0</v>
      </c>
      <c r="N712" s="1">
        <v>1</v>
      </c>
      <c r="P712" s="1">
        <v>0</v>
      </c>
      <c r="Q712" s="3"/>
      <c r="R712" s="3"/>
      <c r="S712" s="3">
        <v>147450</v>
      </c>
      <c r="T712" s="1">
        <v>5.7972599999999996</v>
      </c>
      <c r="U712" s="3"/>
      <c r="V712" s="3"/>
      <c r="X712" s="1">
        <v>147450</v>
      </c>
      <c r="Y712" s="22">
        <v>5.7972599999999996</v>
      </c>
      <c r="Z712" s="4">
        <f>Table1[[#This Row],[totalTimeKept]]*$AD$3</f>
        <v>86958.9</v>
      </c>
      <c r="AA712" s="4">
        <f>Y712-Z712</f>
        <v>-86953.102739999988</v>
      </c>
    </row>
    <row r="713" spans="1:27" x14ac:dyDescent="0.3">
      <c r="A713" s="1">
        <v>10639426</v>
      </c>
      <c r="B713" s="1" t="s">
        <v>1135</v>
      </c>
      <c r="C713" s="1" t="s">
        <v>479</v>
      </c>
      <c r="D713" s="1">
        <v>7728446</v>
      </c>
      <c r="E713" s="1">
        <v>0</v>
      </c>
      <c r="F713" s="1" t="s">
        <v>25</v>
      </c>
      <c r="G713" s="1" t="s">
        <v>349</v>
      </c>
      <c r="H713" s="2">
        <v>43589</v>
      </c>
      <c r="I713" s="2" t="s">
        <v>25</v>
      </c>
      <c r="J713" s="2">
        <v>43775</v>
      </c>
      <c r="K713" s="3"/>
      <c r="L713" s="3">
        <v>240000</v>
      </c>
      <c r="M713" s="3">
        <v>240000</v>
      </c>
      <c r="N713" s="1">
        <v>1</v>
      </c>
      <c r="O713" s="1">
        <v>0</v>
      </c>
      <c r="P713" s="1">
        <v>1</v>
      </c>
      <c r="Q713" s="3"/>
      <c r="R713" s="3"/>
      <c r="S713" s="3">
        <v>240000</v>
      </c>
      <c r="T713" s="1">
        <v>0.50958899999999996</v>
      </c>
      <c r="U713" s="3"/>
      <c r="V713" s="3"/>
      <c r="X713" s="1">
        <v>240000</v>
      </c>
      <c r="Y713" s="22">
        <v>0.50958899999999996</v>
      </c>
      <c r="Z713" s="4">
        <f>Table1[[#This Row],[totalTimeKept]]*$AD$3</f>
        <v>7643.8349999999991</v>
      </c>
      <c r="AA713" s="4">
        <f>Y713-Z713</f>
        <v>-7643.3254109999989</v>
      </c>
    </row>
    <row r="714" spans="1:27" x14ac:dyDescent="0.3">
      <c r="A714" s="1">
        <v>10639430</v>
      </c>
      <c r="B714" s="1" t="s">
        <v>1136</v>
      </c>
      <c r="C714" s="1" t="s">
        <v>53</v>
      </c>
      <c r="D714" s="1">
        <v>4530465</v>
      </c>
      <c r="E714" s="1">
        <v>0</v>
      </c>
      <c r="F714" s="1" t="s">
        <v>25</v>
      </c>
      <c r="G714" s="1" t="s">
        <v>46</v>
      </c>
      <c r="H714" s="2">
        <v>43596</v>
      </c>
      <c r="I714" s="2" t="s">
        <v>25</v>
      </c>
      <c r="J714" s="2">
        <v>44133</v>
      </c>
      <c r="K714" s="3"/>
      <c r="L714" s="3">
        <v>8000</v>
      </c>
      <c r="M714" s="3">
        <v>8000</v>
      </c>
      <c r="N714" s="1">
        <v>1</v>
      </c>
      <c r="O714" s="1">
        <v>0</v>
      </c>
      <c r="P714" s="1">
        <v>1</v>
      </c>
      <c r="Q714" s="3"/>
      <c r="R714" s="3"/>
      <c r="S714" s="3">
        <v>8000</v>
      </c>
      <c r="T714" s="1">
        <v>1.471233</v>
      </c>
      <c r="U714" s="3"/>
      <c r="V714" s="3"/>
      <c r="X714" s="1">
        <v>8000</v>
      </c>
      <c r="Y714" s="22">
        <v>1.471233</v>
      </c>
      <c r="Z714" s="4">
        <f>Table1[[#This Row],[totalTimeKept]]*$AD$3</f>
        <v>22068.494999999999</v>
      </c>
      <c r="AA714" s="4">
        <f>Y714-Z714</f>
        <v>-22067.023766999999</v>
      </c>
    </row>
    <row r="715" spans="1:27" x14ac:dyDescent="0.3">
      <c r="A715" s="1">
        <v>10639431</v>
      </c>
      <c r="B715" s="1" t="s">
        <v>1137</v>
      </c>
      <c r="C715" s="1" t="s">
        <v>336</v>
      </c>
      <c r="D715" s="1">
        <v>6674784</v>
      </c>
      <c r="E715" s="1">
        <v>0</v>
      </c>
      <c r="F715" s="1" t="s">
        <v>25</v>
      </c>
      <c r="G715" s="1" t="s">
        <v>349</v>
      </c>
      <c r="H715" s="2">
        <v>43597</v>
      </c>
      <c r="I715" s="2" t="s">
        <v>25</v>
      </c>
      <c r="J715" s="2">
        <v>43782</v>
      </c>
      <c r="K715" s="3"/>
      <c r="L715" s="3">
        <v>3000</v>
      </c>
      <c r="M715" s="3">
        <v>3000</v>
      </c>
      <c r="N715" s="1">
        <v>1</v>
      </c>
      <c r="O715" s="1">
        <v>0</v>
      </c>
      <c r="P715" s="1">
        <v>1</v>
      </c>
      <c r="Q715" s="3"/>
      <c r="R715" s="3"/>
      <c r="S715" s="3">
        <v>3000</v>
      </c>
      <c r="T715" s="1">
        <v>0.50684929999999995</v>
      </c>
      <c r="U715" s="3"/>
      <c r="V715" s="3"/>
      <c r="X715" s="1">
        <v>3000</v>
      </c>
      <c r="Y715" s="22">
        <v>0.50684929999999995</v>
      </c>
      <c r="Z715" s="4">
        <f>Table1[[#This Row],[totalTimeKept]]*$AD$3</f>
        <v>7602.7394999999988</v>
      </c>
      <c r="AA715" s="4">
        <f>Y715-Z715</f>
        <v>-7602.2326506999989</v>
      </c>
    </row>
    <row r="716" spans="1:27" x14ac:dyDescent="0.3">
      <c r="A716" s="1">
        <v>10733273</v>
      </c>
      <c r="B716" s="1" t="s">
        <v>1138</v>
      </c>
      <c r="C716" s="1" t="s">
        <v>1139</v>
      </c>
      <c r="D716" s="1">
        <v>9665059</v>
      </c>
      <c r="E716" s="1">
        <v>0</v>
      </c>
      <c r="F716" s="1" t="s">
        <v>25</v>
      </c>
      <c r="G716" s="1" t="s">
        <v>349</v>
      </c>
      <c r="H716" s="2">
        <v>43849</v>
      </c>
      <c r="I716" s="2" t="s">
        <v>25</v>
      </c>
      <c r="J716" s="2">
        <v>44147</v>
      </c>
      <c r="K716" s="3"/>
      <c r="L716" s="3">
        <v>30000</v>
      </c>
      <c r="M716" s="3">
        <v>30000</v>
      </c>
      <c r="N716" s="1">
        <v>1</v>
      </c>
      <c r="O716" s="1">
        <v>0</v>
      </c>
      <c r="P716" s="1">
        <v>1</v>
      </c>
      <c r="Q716" s="3"/>
      <c r="R716" s="3"/>
      <c r="S716" s="3">
        <v>30000</v>
      </c>
      <c r="T716" s="1">
        <v>0.81643840000000001</v>
      </c>
      <c r="U716" s="3"/>
      <c r="V716" s="3"/>
      <c r="X716" s="1">
        <v>30000</v>
      </c>
      <c r="Y716" s="22">
        <v>0.81643840000000001</v>
      </c>
      <c r="Z716" s="4">
        <f>Table1[[#This Row],[totalTimeKept]]*$AD$3</f>
        <v>12246.576000000001</v>
      </c>
      <c r="AA716" s="4">
        <f>Y716-Z716</f>
        <v>-12245.759561600002</v>
      </c>
    </row>
    <row r="717" spans="1:27" x14ac:dyDescent="0.3">
      <c r="A717" s="1">
        <v>10735420</v>
      </c>
      <c r="B717" s="1" t="s">
        <v>1140</v>
      </c>
      <c r="C717" s="1" t="s">
        <v>1141</v>
      </c>
      <c r="D717" s="1">
        <v>8077656</v>
      </c>
      <c r="E717" s="1">
        <v>0</v>
      </c>
      <c r="F717" s="1" t="s">
        <v>25</v>
      </c>
      <c r="G717" s="1" t="s">
        <v>349</v>
      </c>
      <c r="H717" s="2">
        <v>43857</v>
      </c>
      <c r="I717" s="2" t="s">
        <v>25</v>
      </c>
      <c r="J717" s="2">
        <v>44148</v>
      </c>
      <c r="K717" s="3"/>
      <c r="L717" s="3">
        <v>75000</v>
      </c>
      <c r="M717" s="3">
        <v>75000</v>
      </c>
      <c r="N717" s="1">
        <v>1</v>
      </c>
      <c r="O717" s="1">
        <v>0</v>
      </c>
      <c r="P717" s="1">
        <v>1</v>
      </c>
      <c r="Q717" s="3"/>
      <c r="R717" s="3"/>
      <c r="S717" s="3">
        <v>75000</v>
      </c>
      <c r="T717" s="1">
        <v>0.79726030000000003</v>
      </c>
      <c r="U717" s="3"/>
      <c r="V717" s="3"/>
      <c r="X717" s="1">
        <v>75000</v>
      </c>
      <c r="Y717" s="22">
        <v>0.79726030000000003</v>
      </c>
      <c r="Z717" s="4">
        <f>Table1[[#This Row],[totalTimeKept]]*$AD$3</f>
        <v>11958.904500000001</v>
      </c>
      <c r="AA717" s="4">
        <f>Y717-Z717</f>
        <v>-11958.107239700001</v>
      </c>
    </row>
    <row r="718" spans="1:27" x14ac:dyDescent="0.3">
      <c r="A718" s="1">
        <v>10737191</v>
      </c>
      <c r="B718" s="1" t="s">
        <v>1142</v>
      </c>
      <c r="C718" s="1" t="s">
        <v>1143</v>
      </c>
      <c r="D718" s="1">
        <v>8032438</v>
      </c>
      <c r="E718" s="1">
        <v>96000</v>
      </c>
      <c r="F718" s="1" t="s">
        <v>46</v>
      </c>
      <c r="G718" s="1" t="s">
        <v>846</v>
      </c>
      <c r="H718" s="2">
        <v>43860</v>
      </c>
      <c r="I718" s="2">
        <v>44452</v>
      </c>
      <c r="J718" s="2">
        <v>45046</v>
      </c>
      <c r="K718" s="3">
        <v>650000</v>
      </c>
      <c r="L718" s="3">
        <v>260000</v>
      </c>
      <c r="M718" s="3">
        <v>-390000</v>
      </c>
      <c r="N718" s="1">
        <v>0</v>
      </c>
      <c r="O718" s="1">
        <v>1</v>
      </c>
      <c r="P718" s="1">
        <v>1</v>
      </c>
      <c r="Q718" s="3"/>
      <c r="R718" s="3"/>
      <c r="S718" s="3">
        <v>-294000</v>
      </c>
      <c r="T718" s="1">
        <v>1.627397</v>
      </c>
      <c r="U718" s="3"/>
      <c r="V718" s="3"/>
      <c r="X718" s="1">
        <v>-294000</v>
      </c>
      <c r="Y718" s="22">
        <v>1.627397</v>
      </c>
      <c r="Z718" s="4">
        <f>Table1[[#This Row],[totalTimeKept]]*$AD$3</f>
        <v>24410.954999999998</v>
      </c>
      <c r="AA718" s="4">
        <f>Y718-Z718</f>
        <v>-24409.327602999998</v>
      </c>
    </row>
    <row r="719" spans="1:27" x14ac:dyDescent="0.3">
      <c r="A719" s="1">
        <v>10739755</v>
      </c>
      <c r="B719" s="1" t="s">
        <v>1144</v>
      </c>
      <c r="C719" s="1" t="s">
        <v>1145</v>
      </c>
      <c r="D719" s="1">
        <v>8888910</v>
      </c>
      <c r="E719" s="1">
        <v>121000</v>
      </c>
      <c r="F719" s="1" t="s">
        <v>46</v>
      </c>
      <c r="G719" s="1" t="s">
        <v>25</v>
      </c>
      <c r="H719" s="2">
        <v>43861</v>
      </c>
      <c r="I719" s="2">
        <v>44456</v>
      </c>
      <c r="J719" s="1" t="s">
        <v>25</v>
      </c>
      <c r="K719" s="3">
        <v>160000</v>
      </c>
      <c r="L719" s="3"/>
      <c r="M719" s="3">
        <v>-160000</v>
      </c>
      <c r="N719" s="1">
        <v>0</v>
      </c>
      <c r="O719" s="1">
        <v>1</v>
      </c>
      <c r="P719" s="1">
        <v>0</v>
      </c>
      <c r="Q719" s="3"/>
      <c r="R719" s="3"/>
      <c r="S719" s="3">
        <v>-39000</v>
      </c>
      <c r="T719" s="1">
        <v>3.4219179999999998</v>
      </c>
      <c r="U719" s="3"/>
      <c r="V719" s="3"/>
      <c r="X719" s="1">
        <v>-39000</v>
      </c>
      <c r="Y719" s="22">
        <v>3.4219179999999998</v>
      </c>
      <c r="Z719" s="4">
        <f>Table1[[#This Row],[totalTimeKept]]*$AD$3</f>
        <v>51328.77</v>
      </c>
      <c r="AA719" s="4">
        <f>Y719-Z719</f>
        <v>-51325.348081999997</v>
      </c>
    </row>
    <row r="720" spans="1:27" x14ac:dyDescent="0.3">
      <c r="A720" s="1">
        <v>10744602</v>
      </c>
      <c r="B720" s="1" t="s">
        <v>1146</v>
      </c>
      <c r="C720" s="1" t="s">
        <v>1147</v>
      </c>
      <c r="D720" s="1">
        <v>9729295</v>
      </c>
      <c r="E720" s="1">
        <v>0</v>
      </c>
      <c r="F720" s="1" t="s">
        <v>46</v>
      </c>
      <c r="G720" s="1" t="s">
        <v>25</v>
      </c>
      <c r="H720" s="2">
        <v>43871</v>
      </c>
      <c r="I720" s="2">
        <v>44452</v>
      </c>
      <c r="J720" s="1" t="s">
        <v>25</v>
      </c>
      <c r="K720" s="3">
        <v>400000</v>
      </c>
      <c r="L720" s="3"/>
      <c r="M720" s="3">
        <v>-400000</v>
      </c>
      <c r="N720" s="1">
        <v>0</v>
      </c>
      <c r="O720" s="1">
        <v>1</v>
      </c>
      <c r="P720" s="1">
        <v>0</v>
      </c>
      <c r="Q720" s="3"/>
      <c r="R720" s="3"/>
      <c r="S720" s="3">
        <v>-400000</v>
      </c>
      <c r="T720" s="1">
        <v>3.432877</v>
      </c>
      <c r="U720" s="3"/>
      <c r="V720" s="3"/>
      <c r="X720" s="1">
        <v>-400000</v>
      </c>
      <c r="Y720" s="22">
        <v>3.432877</v>
      </c>
      <c r="Z720" s="4">
        <f>Table1[[#This Row],[totalTimeKept]]*$AD$3</f>
        <v>51493.154999999999</v>
      </c>
      <c r="AA720" s="4">
        <f>Y720-Z720</f>
        <v>-51489.722123</v>
      </c>
    </row>
    <row r="721" spans="1:27" x14ac:dyDescent="0.3">
      <c r="A721" s="1">
        <v>10744987</v>
      </c>
      <c r="B721" s="1" t="s">
        <v>1148</v>
      </c>
      <c r="C721" s="1" t="s">
        <v>1149</v>
      </c>
      <c r="D721" s="1">
        <v>9105731</v>
      </c>
      <c r="E721" s="1">
        <v>0</v>
      </c>
      <c r="F721" s="1" t="s">
        <v>24</v>
      </c>
      <c r="G721" s="1" t="s">
        <v>25</v>
      </c>
      <c r="H721" s="2">
        <v>43873</v>
      </c>
      <c r="I721" s="2">
        <v>45604</v>
      </c>
      <c r="J721" s="1" t="s">
        <v>25</v>
      </c>
      <c r="K721" s="3">
        <v>125000</v>
      </c>
      <c r="L721" s="3"/>
      <c r="M721" s="3">
        <v>-125000</v>
      </c>
      <c r="N721" s="1">
        <v>0</v>
      </c>
      <c r="O721" s="1">
        <v>1</v>
      </c>
      <c r="P721" s="1">
        <v>0</v>
      </c>
      <c r="Q721" s="3">
        <v>0</v>
      </c>
      <c r="R721" s="3"/>
      <c r="S721" s="3">
        <v>-125000</v>
      </c>
      <c r="T721" s="1">
        <v>0.27671230000000002</v>
      </c>
      <c r="U721" s="3"/>
      <c r="V721" s="3"/>
      <c r="X721" s="1">
        <v>-125000</v>
      </c>
      <c r="Y721" s="22">
        <v>0.27671230000000002</v>
      </c>
      <c r="Z721" s="4">
        <f>Table1[[#This Row],[totalTimeKept]]*$AD$3</f>
        <v>4150.6845000000003</v>
      </c>
      <c r="AA721" s="4">
        <f>Y721-Z721</f>
        <v>-4150.4077877</v>
      </c>
    </row>
    <row r="722" spans="1:27" x14ac:dyDescent="0.3">
      <c r="A722" s="1">
        <v>10745147</v>
      </c>
      <c r="B722" s="1" t="s">
        <v>1150</v>
      </c>
      <c r="C722" s="1" t="s">
        <v>127</v>
      </c>
      <c r="D722" s="1">
        <v>6865801</v>
      </c>
      <c r="E722" s="1">
        <v>0</v>
      </c>
      <c r="F722" s="1" t="s">
        <v>25</v>
      </c>
      <c r="G722" s="1" t="s">
        <v>46</v>
      </c>
      <c r="H722" s="2">
        <v>43869</v>
      </c>
      <c r="I722" s="2" t="s">
        <v>25</v>
      </c>
      <c r="J722" s="2">
        <v>44424</v>
      </c>
      <c r="K722" s="3"/>
      <c r="L722" s="3">
        <v>300000</v>
      </c>
      <c r="M722" s="3">
        <v>300000</v>
      </c>
      <c r="N722" s="1">
        <v>1</v>
      </c>
      <c r="O722" s="1">
        <v>0</v>
      </c>
      <c r="P722" s="1">
        <v>1</v>
      </c>
      <c r="Q722" s="3"/>
      <c r="R722" s="3"/>
      <c r="S722" s="3">
        <v>300000</v>
      </c>
      <c r="T722" s="1">
        <v>1.520548</v>
      </c>
      <c r="U722" s="3"/>
      <c r="V722" s="3"/>
      <c r="X722" s="1">
        <v>300000</v>
      </c>
      <c r="Y722" s="22">
        <v>1.520548</v>
      </c>
      <c r="Z722" s="4">
        <f>Table1[[#This Row],[totalTimeKept]]*$AD$3</f>
        <v>22808.22</v>
      </c>
      <c r="AA722" s="4">
        <f>Y722-Z722</f>
        <v>-22806.699452000001</v>
      </c>
    </row>
    <row r="723" spans="1:27" x14ac:dyDescent="0.3">
      <c r="A723" s="1">
        <v>10745151</v>
      </c>
      <c r="B723" s="1" t="s">
        <v>1151</v>
      </c>
      <c r="C723" s="1" t="s">
        <v>885</v>
      </c>
      <c r="D723" s="1">
        <v>8380530</v>
      </c>
      <c r="E723" s="1">
        <v>0</v>
      </c>
      <c r="F723" s="1" t="s">
        <v>25</v>
      </c>
      <c r="G723" s="1" t="s">
        <v>46</v>
      </c>
      <c r="H723" s="2">
        <v>43870</v>
      </c>
      <c r="I723" s="2" t="s">
        <v>25</v>
      </c>
      <c r="J723" s="2">
        <v>44210</v>
      </c>
      <c r="K723" s="3"/>
      <c r="L723" s="3">
        <v>10000</v>
      </c>
      <c r="M723" s="3">
        <v>10000</v>
      </c>
      <c r="N723" s="1">
        <v>1</v>
      </c>
      <c r="O723" s="1">
        <v>0</v>
      </c>
      <c r="P723" s="1">
        <v>1</v>
      </c>
      <c r="Q723" s="3"/>
      <c r="R723" s="3"/>
      <c r="S723" s="3">
        <v>10000</v>
      </c>
      <c r="T723" s="1">
        <v>0.93150690000000003</v>
      </c>
      <c r="U723" s="3"/>
      <c r="V723" s="3"/>
      <c r="X723" s="1">
        <v>10000</v>
      </c>
      <c r="Y723" s="22">
        <v>0.93150690000000003</v>
      </c>
      <c r="Z723" s="4">
        <f>Table1[[#This Row],[totalTimeKept]]*$AD$3</f>
        <v>13972.603500000001</v>
      </c>
      <c r="AA723" s="4">
        <f>Y723-Z723</f>
        <v>-13971.671993100001</v>
      </c>
    </row>
    <row r="724" spans="1:27" x14ac:dyDescent="0.3">
      <c r="A724" s="1">
        <v>10746788</v>
      </c>
      <c r="B724" s="1" t="s">
        <v>1152</v>
      </c>
      <c r="C724" s="1" t="s">
        <v>1153</v>
      </c>
      <c r="D724" s="1">
        <v>9495761</v>
      </c>
      <c r="E724" s="1">
        <v>0</v>
      </c>
      <c r="F724" s="1" t="s">
        <v>25</v>
      </c>
      <c r="G724" s="1" t="s">
        <v>349</v>
      </c>
      <c r="H724" s="2">
        <v>43872</v>
      </c>
      <c r="I724" s="2" t="s">
        <v>25</v>
      </c>
      <c r="J724" s="2">
        <v>44147</v>
      </c>
      <c r="K724" s="3"/>
      <c r="L724" s="3">
        <v>45000</v>
      </c>
      <c r="M724" s="3">
        <v>45000</v>
      </c>
      <c r="N724" s="1">
        <v>1</v>
      </c>
      <c r="O724" s="1">
        <v>0</v>
      </c>
      <c r="P724" s="1">
        <v>1</v>
      </c>
      <c r="Q724" s="3"/>
      <c r="R724" s="3"/>
      <c r="S724" s="3">
        <v>45000</v>
      </c>
      <c r="T724" s="1">
        <v>0.7534246</v>
      </c>
      <c r="U724" s="3"/>
      <c r="V724" s="3"/>
      <c r="X724" s="1">
        <v>45000</v>
      </c>
      <c r="Y724" s="22">
        <v>0.7534246</v>
      </c>
      <c r="Z724" s="4">
        <f>Table1[[#This Row],[totalTimeKept]]*$AD$3</f>
        <v>11301.369000000001</v>
      </c>
      <c r="AA724" s="4">
        <f>Y724-Z724</f>
        <v>-11300.615575400001</v>
      </c>
    </row>
    <row r="725" spans="1:27" x14ac:dyDescent="0.3">
      <c r="A725" s="1">
        <v>10754247</v>
      </c>
      <c r="B725" s="1" t="s">
        <v>1154</v>
      </c>
      <c r="C725" s="1" t="s">
        <v>1155</v>
      </c>
      <c r="D725" s="1">
        <v>9506256</v>
      </c>
      <c r="E725" s="1">
        <v>94220</v>
      </c>
      <c r="F725" s="1" t="s">
        <v>46</v>
      </c>
      <c r="G725" s="1" t="s">
        <v>846</v>
      </c>
      <c r="H725" s="2">
        <v>43872</v>
      </c>
      <c r="I725" s="2">
        <v>44455</v>
      </c>
      <c r="J725" s="2">
        <v>45117</v>
      </c>
      <c r="K725" s="3">
        <v>550000</v>
      </c>
      <c r="L725" s="3">
        <v>150000</v>
      </c>
      <c r="M725" s="3">
        <v>-400000</v>
      </c>
      <c r="N725" s="1">
        <v>0</v>
      </c>
      <c r="O725" s="1">
        <v>1</v>
      </c>
      <c r="P725" s="1">
        <v>1</v>
      </c>
      <c r="Q725" s="3"/>
      <c r="R725" s="3"/>
      <c r="S725" s="3">
        <v>-305780</v>
      </c>
      <c r="T725" s="1">
        <v>1.813699</v>
      </c>
      <c r="U725" s="3"/>
      <c r="V725" s="3"/>
      <c r="X725" s="1">
        <v>-305780</v>
      </c>
      <c r="Y725" s="22">
        <v>1.813699</v>
      </c>
      <c r="Z725" s="4">
        <f>Table1[[#This Row],[totalTimeKept]]*$AD$3</f>
        <v>27205.485000000001</v>
      </c>
      <c r="AA725" s="4">
        <f>Y725-Z725</f>
        <v>-27203.671301000002</v>
      </c>
    </row>
    <row r="726" spans="1:27" x14ac:dyDescent="0.3">
      <c r="A726" s="1">
        <v>10760055</v>
      </c>
      <c r="B726" s="1" t="s">
        <v>1156</v>
      </c>
      <c r="C726" s="1" t="s">
        <v>741</v>
      </c>
      <c r="D726" s="1">
        <v>9910047</v>
      </c>
      <c r="E726" s="1">
        <v>0</v>
      </c>
      <c r="F726" s="1" t="s">
        <v>25</v>
      </c>
      <c r="G726" s="1" t="s">
        <v>349</v>
      </c>
      <c r="H726" s="2">
        <v>43893</v>
      </c>
      <c r="I726" s="1" t="s">
        <v>25</v>
      </c>
      <c r="J726" s="2">
        <v>44148</v>
      </c>
      <c r="K726" s="3"/>
      <c r="L726" s="3">
        <v>75000</v>
      </c>
      <c r="M726" s="3">
        <v>75000</v>
      </c>
      <c r="N726" s="1">
        <v>1</v>
      </c>
      <c r="O726" s="1">
        <v>0</v>
      </c>
      <c r="P726" s="1">
        <v>1</v>
      </c>
      <c r="Q726" s="3"/>
      <c r="R726" s="3"/>
      <c r="S726" s="3">
        <v>75000</v>
      </c>
      <c r="T726" s="1">
        <v>0.69863019999999998</v>
      </c>
      <c r="U726" s="3"/>
      <c r="V726" s="3"/>
      <c r="X726" s="1">
        <v>75000</v>
      </c>
      <c r="Y726" s="22">
        <v>0.69863019999999998</v>
      </c>
      <c r="Z726" s="4">
        <f>Table1[[#This Row],[totalTimeKept]]*$AD$3</f>
        <v>10479.453</v>
      </c>
      <c r="AA726" s="4">
        <f>Y726-Z726</f>
        <v>-10478.754369799999</v>
      </c>
    </row>
    <row r="727" spans="1:27" x14ac:dyDescent="0.3">
      <c r="A727" s="1">
        <v>10763984</v>
      </c>
      <c r="B727" s="1" t="s">
        <v>1157</v>
      </c>
      <c r="C727" s="1" t="s">
        <v>244</v>
      </c>
      <c r="D727" s="1">
        <v>8064031</v>
      </c>
      <c r="E727" s="1">
        <v>0</v>
      </c>
      <c r="F727" s="1" t="s">
        <v>25</v>
      </c>
      <c r="G727" s="1" t="s">
        <v>349</v>
      </c>
      <c r="H727" s="2">
        <v>43894</v>
      </c>
      <c r="I727" s="2" t="s">
        <v>25</v>
      </c>
      <c r="J727" s="2">
        <v>44146</v>
      </c>
      <c r="K727" s="3"/>
      <c r="L727" s="3">
        <v>360000</v>
      </c>
      <c r="M727" s="3">
        <v>360000</v>
      </c>
      <c r="N727" s="1">
        <v>1</v>
      </c>
      <c r="O727" s="1">
        <v>0</v>
      </c>
      <c r="P727" s="1">
        <v>1</v>
      </c>
      <c r="Q727" s="3"/>
      <c r="R727" s="3"/>
      <c r="S727" s="3">
        <v>360000</v>
      </c>
      <c r="T727" s="1">
        <v>0.690411</v>
      </c>
      <c r="U727" s="3"/>
      <c r="V727" s="3"/>
      <c r="X727" s="1">
        <v>360000</v>
      </c>
      <c r="Y727" s="22">
        <v>0.690411</v>
      </c>
      <c r="Z727" s="4">
        <f>Table1[[#This Row],[totalTimeKept]]*$AD$3</f>
        <v>10356.164999999999</v>
      </c>
      <c r="AA727" s="4">
        <f>Y727-Z727</f>
        <v>-10355.474588999999</v>
      </c>
    </row>
    <row r="728" spans="1:27" x14ac:dyDescent="0.3">
      <c r="A728" s="1">
        <v>10765010</v>
      </c>
      <c r="B728" s="1" t="s">
        <v>1158</v>
      </c>
      <c r="C728" s="1" t="s">
        <v>1047</v>
      </c>
      <c r="D728" s="1">
        <v>7113636</v>
      </c>
      <c r="E728" s="1">
        <v>0</v>
      </c>
      <c r="F728" s="1" t="s">
        <v>25</v>
      </c>
      <c r="G728" s="1" t="s">
        <v>46</v>
      </c>
      <c r="H728" s="2">
        <v>43900</v>
      </c>
      <c r="I728" s="2" t="s">
        <v>25</v>
      </c>
      <c r="J728" s="2">
        <v>44460</v>
      </c>
      <c r="K728" s="3"/>
      <c r="L728" s="3">
        <v>47000</v>
      </c>
      <c r="M728" s="3">
        <v>47000</v>
      </c>
      <c r="N728" s="1">
        <v>1</v>
      </c>
      <c r="O728" s="1">
        <v>0</v>
      </c>
      <c r="P728" s="1">
        <v>1</v>
      </c>
      <c r="Q728" s="3"/>
      <c r="R728" s="3"/>
      <c r="S728" s="3">
        <v>47000</v>
      </c>
      <c r="T728" s="1">
        <v>1.5342469999999999</v>
      </c>
      <c r="U728" s="3"/>
      <c r="V728" s="3"/>
      <c r="X728" s="1">
        <v>47000</v>
      </c>
      <c r="Y728" s="22">
        <v>1.5342469999999999</v>
      </c>
      <c r="Z728" s="4">
        <f>Table1[[#This Row],[totalTimeKept]]*$AD$3</f>
        <v>23013.704999999998</v>
      </c>
      <c r="AA728" s="4">
        <f>Y728-Z728</f>
        <v>-23012.170752999999</v>
      </c>
    </row>
    <row r="729" spans="1:27" x14ac:dyDescent="0.3">
      <c r="A729" s="1">
        <v>10765013</v>
      </c>
      <c r="B729" s="1" t="s">
        <v>1159</v>
      </c>
      <c r="C729" s="1" t="s">
        <v>661</v>
      </c>
      <c r="D729" s="1">
        <v>9698673</v>
      </c>
      <c r="E729" s="1">
        <v>31045</v>
      </c>
      <c r="F729" s="1" t="s">
        <v>25</v>
      </c>
      <c r="G729" s="1" t="s">
        <v>25</v>
      </c>
      <c r="H729" s="2">
        <v>43899</v>
      </c>
      <c r="I729" s="2" t="s">
        <v>25</v>
      </c>
      <c r="J729" s="1" t="s">
        <v>25</v>
      </c>
      <c r="K729" s="3"/>
      <c r="L729" s="3"/>
      <c r="M729" s="3">
        <v>0</v>
      </c>
      <c r="N729" s="1">
        <v>1</v>
      </c>
      <c r="P729" s="1">
        <v>0</v>
      </c>
      <c r="Q729" s="3"/>
      <c r="R729" s="3"/>
      <c r="S729" s="3">
        <v>31045</v>
      </c>
      <c r="T729" s="1">
        <v>4.9479449999999998</v>
      </c>
      <c r="U729" s="3"/>
      <c r="V729" s="3"/>
      <c r="X729" s="1">
        <v>31045</v>
      </c>
      <c r="Y729" s="22">
        <v>4.9479449999999998</v>
      </c>
      <c r="Z729" s="4">
        <f>Table1[[#This Row],[totalTimeKept]]*$AD$3</f>
        <v>74219.175000000003</v>
      </c>
      <c r="AA729" s="4">
        <f>Y729-Z729</f>
        <v>-74214.227054999996</v>
      </c>
    </row>
    <row r="730" spans="1:27" x14ac:dyDescent="0.3">
      <c r="A730" s="1">
        <v>10768523</v>
      </c>
      <c r="B730" s="1" t="s">
        <v>1160</v>
      </c>
      <c r="C730" s="1" t="s">
        <v>1161</v>
      </c>
      <c r="D730" s="1">
        <v>9345365</v>
      </c>
      <c r="E730" s="1">
        <v>996800</v>
      </c>
      <c r="F730" s="1" t="s">
        <v>46</v>
      </c>
      <c r="G730" s="1" t="s">
        <v>25</v>
      </c>
      <c r="H730" s="2">
        <v>43901</v>
      </c>
      <c r="I730" s="2">
        <v>44452</v>
      </c>
      <c r="J730" s="1" t="s">
        <v>25</v>
      </c>
      <c r="K730" s="3">
        <v>850000</v>
      </c>
      <c r="L730" s="3"/>
      <c r="M730" s="3">
        <v>-850000</v>
      </c>
      <c r="N730" s="1">
        <v>0</v>
      </c>
      <c r="O730" s="1">
        <v>1</v>
      </c>
      <c r="P730" s="1">
        <v>0</v>
      </c>
      <c r="Q730" s="3"/>
      <c r="R730" s="3"/>
      <c r="S730" s="3">
        <v>146800</v>
      </c>
      <c r="T730" s="1">
        <v>3.432877</v>
      </c>
      <c r="U730" s="3"/>
      <c r="V730" s="3"/>
      <c r="X730" s="1">
        <v>146800</v>
      </c>
      <c r="Y730" s="22">
        <v>3.432877</v>
      </c>
      <c r="Z730" s="4">
        <f>Table1[[#This Row],[totalTimeKept]]*$AD$3</f>
        <v>51493.154999999999</v>
      </c>
      <c r="AA730" s="4">
        <f>Y730-Z730</f>
        <v>-51489.722123</v>
      </c>
    </row>
    <row r="731" spans="1:27" x14ac:dyDescent="0.3">
      <c r="A731" s="1">
        <v>10770069</v>
      </c>
      <c r="B731" s="1" t="s">
        <v>1162</v>
      </c>
      <c r="C731" s="1" t="s">
        <v>1163</v>
      </c>
      <c r="D731" s="1">
        <v>9883216</v>
      </c>
      <c r="E731" s="1">
        <v>77972</v>
      </c>
      <c r="F731" s="1" t="s">
        <v>46</v>
      </c>
      <c r="G731" s="1" t="s">
        <v>846</v>
      </c>
      <c r="H731" s="2">
        <v>43866</v>
      </c>
      <c r="I731" s="2">
        <v>44453</v>
      </c>
      <c r="J731" s="2">
        <v>45117</v>
      </c>
      <c r="K731" s="3">
        <v>550000</v>
      </c>
      <c r="L731" s="3">
        <v>150000</v>
      </c>
      <c r="M731" s="3">
        <v>-400000</v>
      </c>
      <c r="N731" s="1">
        <v>0</v>
      </c>
      <c r="O731" s="1">
        <v>1</v>
      </c>
      <c r="P731" s="1">
        <v>1</v>
      </c>
      <c r="Q731" s="3"/>
      <c r="R731" s="3"/>
      <c r="S731" s="3">
        <v>-322028</v>
      </c>
      <c r="T731" s="1">
        <v>1.819178</v>
      </c>
      <c r="U731" s="3"/>
      <c r="V731" s="3"/>
      <c r="X731" s="1">
        <v>-322028</v>
      </c>
      <c r="Y731" s="22">
        <v>1.819178</v>
      </c>
      <c r="Z731" s="4">
        <f>Table1[[#This Row],[totalTimeKept]]*$AD$3</f>
        <v>27287.67</v>
      </c>
      <c r="AA731" s="4">
        <f>Y731-Z731</f>
        <v>-27285.850821999997</v>
      </c>
    </row>
    <row r="732" spans="1:27" x14ac:dyDescent="0.3">
      <c r="A732" s="1">
        <v>10772369</v>
      </c>
      <c r="B732" s="1" t="s">
        <v>1164</v>
      </c>
      <c r="C732" s="1" t="s">
        <v>1165</v>
      </c>
      <c r="D732" s="1">
        <v>9652947</v>
      </c>
      <c r="E732" s="1">
        <v>0</v>
      </c>
      <c r="F732" s="1" t="s">
        <v>25</v>
      </c>
      <c r="G732" s="1" t="s">
        <v>46</v>
      </c>
      <c r="H732" s="2">
        <v>43854</v>
      </c>
      <c r="I732" s="2" t="s">
        <v>25</v>
      </c>
      <c r="J732" s="2">
        <v>44417</v>
      </c>
      <c r="K732" s="3"/>
      <c r="L732" s="3">
        <v>360000</v>
      </c>
      <c r="M732" s="3">
        <v>360000</v>
      </c>
      <c r="N732" s="1">
        <v>1</v>
      </c>
      <c r="O732" s="1">
        <v>0</v>
      </c>
      <c r="P732" s="1">
        <v>1</v>
      </c>
      <c r="Q732" s="3"/>
      <c r="R732" s="3"/>
      <c r="S732" s="3">
        <v>360000</v>
      </c>
      <c r="T732" s="1">
        <v>1.5424659999999999</v>
      </c>
      <c r="U732" s="3"/>
      <c r="V732" s="3"/>
      <c r="X732" s="1">
        <v>360000</v>
      </c>
      <c r="Y732" s="22">
        <v>1.5424659999999999</v>
      </c>
      <c r="Z732" s="4">
        <f>Table1[[#This Row],[totalTimeKept]]*$AD$3</f>
        <v>23136.989999999998</v>
      </c>
      <c r="AA732" s="4">
        <f>Y732-Z732</f>
        <v>-23135.447533999999</v>
      </c>
    </row>
    <row r="733" spans="1:27" x14ac:dyDescent="0.3">
      <c r="A733" s="1">
        <v>10772378</v>
      </c>
      <c r="B733" s="1" t="s">
        <v>1166</v>
      </c>
      <c r="C733" s="1" t="s">
        <v>169</v>
      </c>
      <c r="D733" s="1">
        <v>7471287</v>
      </c>
      <c r="E733" s="1">
        <v>0</v>
      </c>
      <c r="F733" s="1" t="s">
        <v>25</v>
      </c>
      <c r="G733" s="1" t="s">
        <v>46</v>
      </c>
      <c r="H733" s="2">
        <v>43871</v>
      </c>
      <c r="I733" s="2" t="s">
        <v>25</v>
      </c>
      <c r="J733" s="2">
        <v>44418</v>
      </c>
      <c r="K733" s="3"/>
      <c r="L733" s="3">
        <v>775000</v>
      </c>
      <c r="M733" s="3">
        <v>775000</v>
      </c>
      <c r="N733" s="1">
        <v>1</v>
      </c>
      <c r="O733" s="1">
        <v>0</v>
      </c>
      <c r="P733" s="1">
        <v>1</v>
      </c>
      <c r="Q733" s="3"/>
      <c r="R733" s="3"/>
      <c r="S733" s="3">
        <v>775000</v>
      </c>
      <c r="T733" s="1">
        <v>1.4986299999999999</v>
      </c>
      <c r="U733" s="3"/>
      <c r="V733" s="3"/>
      <c r="X733" s="1">
        <v>775000</v>
      </c>
      <c r="Y733" s="22">
        <v>1.4986299999999999</v>
      </c>
      <c r="Z733" s="4">
        <f>Table1[[#This Row],[totalTimeKept]]*$AD$3</f>
        <v>22479.449999999997</v>
      </c>
      <c r="AA733" s="4">
        <f>Y733-Z733</f>
        <v>-22477.951369999999</v>
      </c>
    </row>
    <row r="734" spans="1:27" x14ac:dyDescent="0.3">
      <c r="A734" s="1">
        <v>10772382</v>
      </c>
      <c r="B734" s="1" t="s">
        <v>1167</v>
      </c>
      <c r="C734" s="1" t="s">
        <v>721</v>
      </c>
      <c r="D734" s="1">
        <v>9882435</v>
      </c>
      <c r="E734" s="1">
        <v>0</v>
      </c>
      <c r="F734" s="1" t="s">
        <v>25</v>
      </c>
      <c r="G734" s="1" t="s">
        <v>46</v>
      </c>
      <c r="H734" s="2">
        <v>43872</v>
      </c>
      <c r="I734" s="2" t="s">
        <v>25</v>
      </c>
      <c r="J734" s="2">
        <v>44494</v>
      </c>
      <c r="K734" s="3"/>
      <c r="L734" s="3">
        <v>700000</v>
      </c>
      <c r="M734" s="3">
        <v>700000</v>
      </c>
      <c r="N734" s="1">
        <v>1</v>
      </c>
      <c r="O734" s="1">
        <v>0</v>
      </c>
      <c r="P734" s="1">
        <v>1</v>
      </c>
      <c r="Q734" s="3"/>
      <c r="R734" s="3"/>
      <c r="S734" s="3">
        <v>700000</v>
      </c>
      <c r="T734" s="1">
        <v>1.70411</v>
      </c>
      <c r="U734" s="3"/>
      <c r="V734" s="3"/>
      <c r="X734" s="1">
        <v>700000</v>
      </c>
      <c r="Y734" s="22">
        <v>1.70411</v>
      </c>
      <c r="Z734" s="4">
        <f>Table1[[#This Row],[totalTimeKept]]*$AD$3</f>
        <v>25561.65</v>
      </c>
      <c r="AA734" s="4">
        <f>Y734-Z734</f>
        <v>-25559.945890000003</v>
      </c>
    </row>
    <row r="735" spans="1:27" x14ac:dyDescent="0.3">
      <c r="A735" s="1">
        <v>10772388</v>
      </c>
      <c r="B735" s="1" t="s">
        <v>1168</v>
      </c>
      <c r="C735" s="1" t="s">
        <v>998</v>
      </c>
      <c r="D735" s="1">
        <v>6779756</v>
      </c>
      <c r="E735" s="1">
        <v>0</v>
      </c>
      <c r="F735" s="1" t="s">
        <v>25</v>
      </c>
      <c r="G735" s="1" t="s">
        <v>349</v>
      </c>
      <c r="H735" s="2">
        <v>43877</v>
      </c>
      <c r="I735" s="2" t="s">
        <v>25</v>
      </c>
      <c r="J735" s="2">
        <v>44146</v>
      </c>
      <c r="K735" s="3"/>
      <c r="L735" s="3">
        <v>140000</v>
      </c>
      <c r="M735" s="3">
        <v>140000</v>
      </c>
      <c r="N735" s="1">
        <v>1</v>
      </c>
      <c r="O735" s="1">
        <v>0</v>
      </c>
      <c r="P735" s="1">
        <v>1</v>
      </c>
      <c r="Q735" s="3"/>
      <c r="R735" s="3"/>
      <c r="S735" s="3">
        <v>140000</v>
      </c>
      <c r="T735" s="1">
        <v>0.73698629999999998</v>
      </c>
      <c r="U735" s="3"/>
      <c r="V735" s="3"/>
      <c r="X735" s="1">
        <v>140000</v>
      </c>
      <c r="Y735" s="22">
        <v>0.73698629999999998</v>
      </c>
      <c r="Z735" s="4">
        <f>Table1[[#This Row],[totalTimeKept]]*$AD$3</f>
        <v>11054.7945</v>
      </c>
      <c r="AA735" s="4">
        <f>Y735-Z735</f>
        <v>-11054.0575137</v>
      </c>
    </row>
    <row r="736" spans="1:27" x14ac:dyDescent="0.3">
      <c r="A736" s="1">
        <v>10774161</v>
      </c>
      <c r="B736" s="1" t="s">
        <v>1169</v>
      </c>
      <c r="C736" s="1" t="s">
        <v>1170</v>
      </c>
      <c r="D736" s="1">
        <v>10111366</v>
      </c>
      <c r="E736" s="1">
        <v>49645</v>
      </c>
      <c r="F736" s="1" t="s">
        <v>46</v>
      </c>
      <c r="G736" s="1" t="s">
        <v>25</v>
      </c>
      <c r="H736" s="2">
        <v>43866</v>
      </c>
      <c r="I736" s="2">
        <v>44454</v>
      </c>
      <c r="J736" s="1" t="s">
        <v>25</v>
      </c>
      <c r="K736" s="3">
        <v>440000</v>
      </c>
      <c r="L736" s="3"/>
      <c r="M736" s="3">
        <v>-440000</v>
      </c>
      <c r="N736" s="1">
        <v>0</v>
      </c>
      <c r="O736" s="1">
        <v>1</v>
      </c>
      <c r="P736" s="1">
        <v>0</v>
      </c>
      <c r="Q736" s="3"/>
      <c r="R736" s="3"/>
      <c r="S736" s="3">
        <v>-390355</v>
      </c>
      <c r="T736" s="1">
        <v>3.427397</v>
      </c>
      <c r="U736" s="3"/>
      <c r="V736" s="3"/>
      <c r="X736" s="1">
        <v>-390355</v>
      </c>
      <c r="Y736" s="22">
        <v>3.427397</v>
      </c>
      <c r="Z736" s="4">
        <f>Table1[[#This Row],[totalTimeKept]]*$AD$3</f>
        <v>51410.955000000002</v>
      </c>
      <c r="AA736" s="4">
        <f>Y736-Z736</f>
        <v>-51407.527603000002</v>
      </c>
    </row>
    <row r="737" spans="1:27" x14ac:dyDescent="0.3">
      <c r="A737" s="1">
        <v>10774573</v>
      </c>
      <c r="B737" s="1" t="s">
        <v>1171</v>
      </c>
      <c r="C737" s="1" t="s">
        <v>152</v>
      </c>
      <c r="D737" s="1">
        <v>7374648</v>
      </c>
      <c r="E737" s="1">
        <v>0</v>
      </c>
      <c r="F737" s="1" t="s">
        <v>25</v>
      </c>
      <c r="G737" s="1" t="s">
        <v>349</v>
      </c>
      <c r="H737" s="2">
        <v>43914</v>
      </c>
      <c r="I737" s="2" t="s">
        <v>25</v>
      </c>
      <c r="J737" s="2">
        <v>44148</v>
      </c>
      <c r="K737" s="3"/>
      <c r="L737" s="3">
        <v>32000</v>
      </c>
      <c r="M737" s="3">
        <v>32000</v>
      </c>
      <c r="N737" s="1">
        <v>1</v>
      </c>
      <c r="O737" s="1">
        <v>0</v>
      </c>
      <c r="P737" s="1">
        <v>1</v>
      </c>
      <c r="Q737" s="3"/>
      <c r="R737" s="3"/>
      <c r="S737" s="3">
        <v>32000</v>
      </c>
      <c r="T737" s="1">
        <v>0.64109590000000005</v>
      </c>
      <c r="U737" s="3"/>
      <c r="V737" s="3"/>
      <c r="X737" s="1">
        <v>32000</v>
      </c>
      <c r="Y737" s="22">
        <v>0.64109590000000005</v>
      </c>
      <c r="Z737" s="4">
        <f>Table1[[#This Row],[totalTimeKept]]*$AD$3</f>
        <v>9616.4385000000002</v>
      </c>
      <c r="AA737" s="4">
        <f>Y737-Z737</f>
        <v>-9615.7974040999998</v>
      </c>
    </row>
    <row r="738" spans="1:27" x14ac:dyDescent="0.3">
      <c r="A738" s="1">
        <v>10775341</v>
      </c>
      <c r="B738" s="1" t="s">
        <v>1172</v>
      </c>
      <c r="C738" s="1" t="s">
        <v>1173</v>
      </c>
      <c r="D738" s="1">
        <v>9495239</v>
      </c>
      <c r="E738" s="1">
        <v>0</v>
      </c>
      <c r="F738" s="1" t="s">
        <v>25</v>
      </c>
      <c r="G738" s="1" t="s">
        <v>46</v>
      </c>
      <c r="H738" s="2">
        <v>43906</v>
      </c>
      <c r="I738" s="2" t="s">
        <v>25</v>
      </c>
      <c r="J738" s="2">
        <v>44207</v>
      </c>
      <c r="K738" s="3"/>
      <c r="L738" s="3">
        <v>82000</v>
      </c>
      <c r="M738" s="3">
        <v>82000</v>
      </c>
      <c r="N738" s="1">
        <v>1</v>
      </c>
      <c r="O738" s="1">
        <v>0</v>
      </c>
      <c r="P738" s="1">
        <v>1</v>
      </c>
      <c r="Q738" s="3"/>
      <c r="R738" s="3"/>
      <c r="S738" s="3">
        <v>82000</v>
      </c>
      <c r="T738" s="1">
        <v>0.82465759999999999</v>
      </c>
      <c r="U738" s="3"/>
      <c r="V738" s="3"/>
      <c r="X738" s="1">
        <v>82000</v>
      </c>
      <c r="Y738" s="22">
        <v>0.82465759999999999</v>
      </c>
      <c r="Z738" s="4">
        <f>Table1[[#This Row],[totalTimeKept]]*$AD$3</f>
        <v>12369.864</v>
      </c>
      <c r="AA738" s="4">
        <f>Y738-Z738</f>
        <v>-12369.039342399999</v>
      </c>
    </row>
    <row r="739" spans="1:27" x14ac:dyDescent="0.3">
      <c r="A739" s="1">
        <v>10775353</v>
      </c>
      <c r="B739" s="1" t="s">
        <v>1174</v>
      </c>
      <c r="C739" s="1" t="s">
        <v>764</v>
      </c>
      <c r="D739" s="1">
        <v>10045134</v>
      </c>
      <c r="E739" s="1">
        <v>0</v>
      </c>
      <c r="F739" s="1" t="s">
        <v>25</v>
      </c>
      <c r="G739" s="1" t="s">
        <v>349</v>
      </c>
      <c r="H739" s="2">
        <v>43875</v>
      </c>
      <c r="I739" s="2" t="s">
        <v>25</v>
      </c>
      <c r="J739" s="2">
        <v>44148</v>
      </c>
      <c r="K739" s="3"/>
      <c r="L739" s="3">
        <v>50000</v>
      </c>
      <c r="M739" s="3">
        <v>50000</v>
      </c>
      <c r="N739" s="1">
        <v>1</v>
      </c>
      <c r="O739" s="1">
        <v>0</v>
      </c>
      <c r="P739" s="1">
        <v>1</v>
      </c>
      <c r="Q739" s="3"/>
      <c r="R739" s="3"/>
      <c r="S739" s="3">
        <v>50000</v>
      </c>
      <c r="T739" s="1">
        <v>0.74794519999999998</v>
      </c>
      <c r="U739" s="3"/>
      <c r="V739" s="3"/>
      <c r="X739" s="1">
        <v>50000</v>
      </c>
      <c r="Y739" s="22">
        <v>0.74794519999999998</v>
      </c>
      <c r="Z739" s="4">
        <f>Table1[[#This Row],[totalTimeKept]]*$AD$3</f>
        <v>11219.178</v>
      </c>
      <c r="AA739" s="4">
        <f>Y739-Z739</f>
        <v>-11218.430054799999</v>
      </c>
    </row>
    <row r="740" spans="1:27" x14ac:dyDescent="0.3">
      <c r="A740" s="1">
        <v>10777612</v>
      </c>
      <c r="B740" s="1" t="s">
        <v>1175</v>
      </c>
      <c r="C740" s="1" t="s">
        <v>1176</v>
      </c>
      <c r="D740" s="1">
        <v>9876758</v>
      </c>
      <c r="E740" s="1">
        <v>25200</v>
      </c>
      <c r="F740" s="1" t="s">
        <v>46</v>
      </c>
      <c r="G740" s="1" t="s">
        <v>846</v>
      </c>
      <c r="H740" s="2">
        <v>43920</v>
      </c>
      <c r="I740" s="2">
        <v>44455</v>
      </c>
      <c r="J740" s="2">
        <v>44988</v>
      </c>
      <c r="K740" s="3">
        <v>260000</v>
      </c>
      <c r="L740" s="3">
        <v>55000</v>
      </c>
      <c r="M740" s="3">
        <v>-205000</v>
      </c>
      <c r="N740" s="1">
        <v>0</v>
      </c>
      <c r="O740" s="1">
        <v>1</v>
      </c>
      <c r="P740" s="1">
        <v>1</v>
      </c>
      <c r="Q740" s="3"/>
      <c r="R740" s="3"/>
      <c r="S740" s="3">
        <v>-179800</v>
      </c>
      <c r="T740" s="1">
        <v>1.4602740000000001</v>
      </c>
      <c r="U740" s="3"/>
      <c r="V740" s="3"/>
      <c r="X740" s="1">
        <v>-179800</v>
      </c>
      <c r="Y740" s="22">
        <v>1.4602740000000001</v>
      </c>
      <c r="Z740" s="4">
        <f>Table1[[#This Row],[totalTimeKept]]*$AD$3</f>
        <v>21904.11</v>
      </c>
      <c r="AA740" s="4">
        <f>Y740-Z740</f>
        <v>-21902.649726</v>
      </c>
    </row>
    <row r="741" spans="1:27" x14ac:dyDescent="0.3">
      <c r="A741" s="1">
        <v>10779972</v>
      </c>
      <c r="B741" s="1" t="s">
        <v>1177</v>
      </c>
      <c r="C741" s="1" t="s">
        <v>1178</v>
      </c>
      <c r="D741" s="1">
        <v>9910082</v>
      </c>
      <c r="E741" s="1">
        <v>0</v>
      </c>
      <c r="F741" s="1" t="s">
        <v>25</v>
      </c>
      <c r="G741" s="1" t="s">
        <v>46</v>
      </c>
      <c r="H741" s="2">
        <v>43850</v>
      </c>
      <c r="I741" s="2" t="s">
        <v>25</v>
      </c>
      <c r="J741" s="2">
        <v>44458</v>
      </c>
      <c r="K741" s="3"/>
      <c r="L741" s="3">
        <v>7000</v>
      </c>
      <c r="M741" s="3">
        <v>7000</v>
      </c>
      <c r="N741" s="1">
        <v>1</v>
      </c>
      <c r="O741" s="1">
        <v>0</v>
      </c>
      <c r="P741" s="1">
        <v>1</v>
      </c>
      <c r="Q741" s="3"/>
      <c r="R741" s="3"/>
      <c r="S741" s="3">
        <v>7000</v>
      </c>
      <c r="T741" s="1">
        <v>1.665753</v>
      </c>
      <c r="U741" s="3"/>
      <c r="V741" s="3"/>
      <c r="X741" s="1">
        <v>7000</v>
      </c>
      <c r="Y741" s="22">
        <v>1.665753</v>
      </c>
      <c r="Z741" s="4">
        <f>Table1[[#This Row],[totalTimeKept]]*$AD$3</f>
        <v>24986.295000000002</v>
      </c>
      <c r="AA741" s="4">
        <f>Y741-Z741</f>
        <v>-24984.629247000001</v>
      </c>
    </row>
    <row r="742" spans="1:27" x14ac:dyDescent="0.3">
      <c r="A742" s="1">
        <v>10779979</v>
      </c>
      <c r="B742" s="1" t="s">
        <v>1179</v>
      </c>
      <c r="C742" s="1" t="s">
        <v>89</v>
      </c>
      <c r="D742" s="1">
        <v>6163506</v>
      </c>
      <c r="E742" s="1">
        <v>0</v>
      </c>
      <c r="F742" s="1" t="s">
        <v>25</v>
      </c>
      <c r="G742" s="1" t="s">
        <v>46</v>
      </c>
      <c r="H742" s="2">
        <v>43867</v>
      </c>
      <c r="I742" s="2" t="s">
        <v>25</v>
      </c>
      <c r="J742" s="2">
        <v>44460</v>
      </c>
      <c r="K742" s="3"/>
      <c r="L742" s="3">
        <v>45000</v>
      </c>
      <c r="M742" s="3">
        <v>45000</v>
      </c>
      <c r="N742" s="1">
        <v>1</v>
      </c>
      <c r="O742" s="1">
        <v>0</v>
      </c>
      <c r="P742" s="1">
        <v>1</v>
      </c>
      <c r="Q742" s="3"/>
      <c r="R742" s="3"/>
      <c r="S742" s="3">
        <v>45000</v>
      </c>
      <c r="T742" s="1">
        <v>1.6246579999999999</v>
      </c>
      <c r="U742" s="3"/>
      <c r="V742" s="3"/>
      <c r="X742" s="1">
        <v>45000</v>
      </c>
      <c r="Y742" s="22">
        <v>1.6246579999999999</v>
      </c>
      <c r="Z742" s="4">
        <f>Table1[[#This Row],[totalTimeKept]]*$AD$3</f>
        <v>24369.87</v>
      </c>
      <c r="AA742" s="4">
        <f>Y742-Z742</f>
        <v>-24368.245341999998</v>
      </c>
    </row>
    <row r="743" spans="1:27" x14ac:dyDescent="0.3">
      <c r="A743" s="1">
        <v>10779987</v>
      </c>
      <c r="B743" s="1" t="s">
        <v>1180</v>
      </c>
      <c r="C743" s="1" t="s">
        <v>264</v>
      </c>
      <c r="D743" s="1">
        <v>8303572</v>
      </c>
      <c r="E743" s="1">
        <v>0</v>
      </c>
      <c r="F743" s="1" t="s">
        <v>25</v>
      </c>
      <c r="G743" s="1" t="s">
        <v>25</v>
      </c>
      <c r="H743" s="2">
        <v>43845</v>
      </c>
      <c r="I743" s="2" t="s">
        <v>25</v>
      </c>
      <c r="J743" s="1" t="s">
        <v>25</v>
      </c>
      <c r="K743" s="3"/>
      <c r="L743" s="3"/>
      <c r="M743" s="3">
        <v>0</v>
      </c>
      <c r="N743" s="1">
        <v>1</v>
      </c>
      <c r="P743" s="1">
        <v>0</v>
      </c>
      <c r="Q743" s="3">
        <v>17500</v>
      </c>
      <c r="R743" s="3"/>
      <c r="S743" s="3">
        <v>-17500</v>
      </c>
      <c r="T743" s="1">
        <v>5.0958909999999999</v>
      </c>
      <c r="U743" s="3"/>
      <c r="V743" s="3"/>
      <c r="X743" s="1">
        <v>-17500</v>
      </c>
      <c r="Y743" s="22">
        <v>5.0958909999999999</v>
      </c>
      <c r="Z743" s="4">
        <f>Table1[[#This Row],[totalTimeKept]]*$AD$3</f>
        <v>76438.365000000005</v>
      </c>
      <c r="AA743" s="4">
        <f>Y743-Z743</f>
        <v>-76433.269109000001</v>
      </c>
    </row>
    <row r="744" spans="1:27" x14ac:dyDescent="0.3">
      <c r="A744" s="1">
        <v>10779992</v>
      </c>
      <c r="B744" s="1" t="s">
        <v>1181</v>
      </c>
      <c r="C744" s="1" t="s">
        <v>1182</v>
      </c>
      <c r="D744" s="1">
        <v>9916341</v>
      </c>
      <c r="E744" s="1">
        <v>0</v>
      </c>
      <c r="F744" s="1" t="s">
        <v>25</v>
      </c>
      <c r="G744" s="1" t="s">
        <v>46</v>
      </c>
      <c r="H744" s="2">
        <v>43863</v>
      </c>
      <c r="I744" s="2" t="s">
        <v>25</v>
      </c>
      <c r="J744" s="2">
        <v>44208</v>
      </c>
      <c r="K744" s="3"/>
      <c r="L744" s="3">
        <v>1000</v>
      </c>
      <c r="M744" s="3">
        <v>1000</v>
      </c>
      <c r="N744" s="1">
        <v>1</v>
      </c>
      <c r="O744" s="1">
        <v>0</v>
      </c>
      <c r="P744" s="1">
        <v>1</v>
      </c>
      <c r="Q744" s="3"/>
      <c r="R744" s="3"/>
      <c r="S744" s="3">
        <v>1000</v>
      </c>
      <c r="T744" s="1">
        <v>0.94520550000000003</v>
      </c>
      <c r="U744" s="3"/>
      <c r="V744" s="3"/>
      <c r="X744" s="1">
        <v>1000</v>
      </c>
      <c r="Y744" s="22">
        <v>0.94520550000000003</v>
      </c>
      <c r="Z744" s="4">
        <f>Table1[[#This Row],[totalTimeKept]]*$AD$3</f>
        <v>14178.0825</v>
      </c>
      <c r="AA744" s="4">
        <f>Y744-Z744</f>
        <v>-14177.1372945</v>
      </c>
    </row>
    <row r="745" spans="1:27" x14ac:dyDescent="0.3">
      <c r="A745" s="1">
        <v>10780003</v>
      </c>
      <c r="B745" s="1" t="s">
        <v>1183</v>
      </c>
      <c r="C745" s="1" t="s">
        <v>756</v>
      </c>
      <c r="D745" s="1">
        <v>9942610</v>
      </c>
      <c r="E745" s="1">
        <v>0</v>
      </c>
      <c r="F745" s="1" t="s">
        <v>25</v>
      </c>
      <c r="G745" s="1" t="s">
        <v>46</v>
      </c>
      <c r="H745" s="2">
        <v>43903</v>
      </c>
      <c r="I745" s="2" t="s">
        <v>25</v>
      </c>
      <c r="J745" s="2">
        <v>44458</v>
      </c>
      <c r="K745" s="3"/>
      <c r="L745" s="3">
        <v>22000</v>
      </c>
      <c r="M745" s="3">
        <v>22000</v>
      </c>
      <c r="N745" s="1">
        <v>1</v>
      </c>
      <c r="O745" s="1">
        <v>0</v>
      </c>
      <c r="P745" s="1">
        <v>1</v>
      </c>
      <c r="Q745" s="3"/>
      <c r="R745" s="3"/>
      <c r="S745" s="3">
        <v>22000</v>
      </c>
      <c r="T745" s="1">
        <v>1.520548</v>
      </c>
      <c r="U745" s="3"/>
      <c r="V745" s="3"/>
      <c r="X745" s="1">
        <v>22000</v>
      </c>
      <c r="Y745" s="22">
        <v>1.520548</v>
      </c>
      <c r="Z745" s="4">
        <f>Table1[[#This Row],[totalTimeKept]]*$AD$3</f>
        <v>22808.22</v>
      </c>
      <c r="AA745" s="4">
        <f>Y745-Z745</f>
        <v>-22806.699452000001</v>
      </c>
    </row>
    <row r="746" spans="1:27" x14ac:dyDescent="0.3">
      <c r="A746" s="1">
        <v>10780018</v>
      </c>
      <c r="B746" s="1" t="s">
        <v>1184</v>
      </c>
      <c r="C746" s="1" t="s">
        <v>462</v>
      </c>
      <c r="D746" s="1">
        <v>4307108</v>
      </c>
      <c r="E746" s="1">
        <v>0</v>
      </c>
      <c r="F746" s="1" t="s">
        <v>25</v>
      </c>
      <c r="G746" s="1" t="s">
        <v>46</v>
      </c>
      <c r="H746" s="2">
        <v>43916</v>
      </c>
      <c r="I746" s="2" t="s">
        <v>25</v>
      </c>
      <c r="J746" s="2">
        <v>44460</v>
      </c>
      <c r="K746" s="3"/>
      <c r="L746" s="3">
        <v>55000</v>
      </c>
      <c r="M746" s="3">
        <v>55000</v>
      </c>
      <c r="N746" s="1">
        <v>1</v>
      </c>
      <c r="O746" s="1">
        <v>0</v>
      </c>
      <c r="P746" s="1">
        <v>1</v>
      </c>
      <c r="Q746" s="3"/>
      <c r="R746" s="3"/>
      <c r="S746" s="3">
        <v>55000</v>
      </c>
      <c r="T746" s="1">
        <v>1.4904109999999999</v>
      </c>
      <c r="U746" s="3"/>
      <c r="V746" s="3"/>
      <c r="X746" s="1">
        <v>55000</v>
      </c>
      <c r="Y746" s="22">
        <v>1.4904109999999999</v>
      </c>
      <c r="Z746" s="4">
        <f>Table1[[#This Row],[totalTimeKept]]*$AD$3</f>
        <v>22356.164999999997</v>
      </c>
      <c r="AA746" s="4">
        <f>Y746-Z746</f>
        <v>-22354.674588999998</v>
      </c>
    </row>
    <row r="747" spans="1:27" x14ac:dyDescent="0.3">
      <c r="A747" s="1">
        <v>10781458</v>
      </c>
      <c r="B747" s="1" t="s">
        <v>1185</v>
      </c>
      <c r="C747" s="1" t="s">
        <v>1186</v>
      </c>
      <c r="D747" s="1">
        <v>7654105</v>
      </c>
      <c r="E747" s="1">
        <v>47826.5</v>
      </c>
      <c r="F747" s="1" t="s">
        <v>46</v>
      </c>
      <c r="G747" s="1" t="s">
        <v>846</v>
      </c>
      <c r="H747" s="2">
        <v>43928</v>
      </c>
      <c r="I747" s="2">
        <v>44454</v>
      </c>
      <c r="J747" s="2">
        <v>45247</v>
      </c>
      <c r="K747" s="3">
        <v>675000</v>
      </c>
      <c r="L747" s="3">
        <v>42000</v>
      </c>
      <c r="M747" s="3">
        <v>-633000</v>
      </c>
      <c r="N747" s="1">
        <v>0</v>
      </c>
      <c r="O747" s="1">
        <v>1</v>
      </c>
      <c r="P747" s="1">
        <v>1</v>
      </c>
      <c r="Q747" s="3"/>
      <c r="R747" s="3"/>
      <c r="S747" s="3">
        <v>-585173.5</v>
      </c>
      <c r="T747" s="1">
        <v>2.1726030000000001</v>
      </c>
      <c r="U747" s="3"/>
      <c r="V747" s="3"/>
      <c r="X747" s="1">
        <v>-585173.5</v>
      </c>
      <c r="Y747" s="22">
        <v>2.1726030000000001</v>
      </c>
      <c r="Z747" s="4">
        <f>Table1[[#This Row],[totalTimeKept]]*$AD$3</f>
        <v>32589.045000000002</v>
      </c>
      <c r="AA747" s="4">
        <f>Y747-Z747</f>
        <v>-32586.872397000003</v>
      </c>
    </row>
    <row r="748" spans="1:27" x14ac:dyDescent="0.3">
      <c r="A748" s="1">
        <v>10782422</v>
      </c>
      <c r="B748" s="1" t="s">
        <v>1187</v>
      </c>
      <c r="C748" s="1" t="s">
        <v>133</v>
      </c>
      <c r="D748" s="1">
        <v>7128556</v>
      </c>
      <c r="E748" s="1">
        <v>0</v>
      </c>
      <c r="F748" s="1" t="s">
        <v>25</v>
      </c>
      <c r="G748" s="1" t="s">
        <v>24</v>
      </c>
      <c r="H748" s="2">
        <v>43885</v>
      </c>
      <c r="I748" s="2" t="s">
        <v>25</v>
      </c>
      <c r="J748" s="2">
        <v>45299</v>
      </c>
      <c r="K748" s="3"/>
      <c r="L748" s="3">
        <v>55000</v>
      </c>
      <c r="M748" s="3">
        <v>55000</v>
      </c>
      <c r="N748" s="1">
        <v>1</v>
      </c>
      <c r="O748" s="1">
        <v>0</v>
      </c>
      <c r="P748" s="1">
        <v>1</v>
      </c>
      <c r="Q748" s="3">
        <v>80000</v>
      </c>
      <c r="R748" s="3"/>
      <c r="S748" s="3">
        <v>-25000</v>
      </c>
      <c r="T748" s="1">
        <v>3.8739729999999999</v>
      </c>
      <c r="U748" s="3"/>
      <c r="V748" s="3"/>
      <c r="X748" s="1">
        <v>-25000</v>
      </c>
      <c r="Y748" s="22">
        <v>3.8739729999999999</v>
      </c>
      <c r="Z748" s="4">
        <f>Table1[[#This Row],[totalTimeKept]]*$AD$3</f>
        <v>58109.595000000001</v>
      </c>
      <c r="AA748" s="4">
        <f>Y748-Z748</f>
        <v>-58105.721027</v>
      </c>
    </row>
    <row r="749" spans="1:27" x14ac:dyDescent="0.3">
      <c r="A749" s="1">
        <v>10782423</v>
      </c>
      <c r="B749" s="1" t="s">
        <v>1188</v>
      </c>
      <c r="C749" s="1" t="s">
        <v>75</v>
      </c>
      <c r="D749" s="1">
        <v>5334092</v>
      </c>
      <c r="E749" s="1">
        <v>0</v>
      </c>
      <c r="F749" s="1" t="s">
        <v>25</v>
      </c>
      <c r="G749" s="1" t="s">
        <v>46</v>
      </c>
      <c r="H749" s="2">
        <v>43889</v>
      </c>
      <c r="I749" s="2" t="s">
        <v>25</v>
      </c>
      <c r="J749" s="2">
        <v>44207</v>
      </c>
      <c r="K749" s="3"/>
      <c r="L749" s="3">
        <v>50000</v>
      </c>
      <c r="M749" s="3">
        <v>50000</v>
      </c>
      <c r="N749" s="1">
        <v>1</v>
      </c>
      <c r="O749" s="1">
        <v>0</v>
      </c>
      <c r="P749" s="1">
        <v>1</v>
      </c>
      <c r="Q749" s="3"/>
      <c r="R749" s="3"/>
      <c r="S749" s="3">
        <v>50000</v>
      </c>
      <c r="T749" s="1">
        <v>0.87123289999999998</v>
      </c>
      <c r="U749" s="3"/>
      <c r="V749" s="3"/>
      <c r="X749" s="1">
        <v>50000</v>
      </c>
      <c r="Y749" s="22">
        <v>0.87123289999999998</v>
      </c>
      <c r="Z749" s="4">
        <f>Table1[[#This Row],[totalTimeKept]]*$AD$3</f>
        <v>13068.4935</v>
      </c>
      <c r="AA749" s="4">
        <f>Y749-Z749</f>
        <v>-13067.6222671</v>
      </c>
    </row>
    <row r="750" spans="1:27" x14ac:dyDescent="0.3">
      <c r="A750" s="1">
        <v>10782645</v>
      </c>
      <c r="B750" s="1" t="s">
        <v>1189</v>
      </c>
      <c r="C750" s="1" t="s">
        <v>111</v>
      </c>
      <c r="D750" s="1">
        <v>6634089</v>
      </c>
      <c r="E750" s="1">
        <v>0</v>
      </c>
      <c r="F750" s="1" t="s">
        <v>25</v>
      </c>
      <c r="G750" s="1" t="s">
        <v>46</v>
      </c>
      <c r="H750" s="2">
        <v>43908</v>
      </c>
      <c r="I750" s="2" t="s">
        <v>25</v>
      </c>
      <c r="J750" s="2">
        <v>44454</v>
      </c>
      <c r="K750" s="3"/>
      <c r="L750" s="3">
        <v>175000</v>
      </c>
      <c r="M750" s="3">
        <v>175000</v>
      </c>
      <c r="N750" s="1">
        <v>1</v>
      </c>
      <c r="O750" s="1">
        <v>0</v>
      </c>
      <c r="P750" s="1">
        <v>1</v>
      </c>
      <c r="Q750" s="3"/>
      <c r="R750" s="3"/>
      <c r="S750" s="3">
        <v>175000</v>
      </c>
      <c r="T750" s="1">
        <v>1.4958899999999999</v>
      </c>
      <c r="U750" s="3"/>
      <c r="V750" s="3"/>
      <c r="X750" s="1">
        <v>175000</v>
      </c>
      <c r="Y750" s="22">
        <v>1.4958899999999999</v>
      </c>
      <c r="Z750" s="4">
        <f>Table1[[#This Row],[totalTimeKept]]*$AD$3</f>
        <v>22438.35</v>
      </c>
      <c r="AA750" s="4">
        <f>Y750-Z750</f>
        <v>-22436.85411</v>
      </c>
    </row>
    <row r="751" spans="1:27" x14ac:dyDescent="0.3">
      <c r="A751" s="1">
        <v>10782648</v>
      </c>
      <c r="B751" s="1" t="s">
        <v>1190</v>
      </c>
      <c r="C751" s="1" t="s">
        <v>489</v>
      </c>
      <c r="D751" s="1">
        <v>9308495</v>
      </c>
      <c r="E751" s="1">
        <v>0</v>
      </c>
      <c r="F751" s="1" t="s">
        <v>25</v>
      </c>
      <c r="G751" s="1" t="s">
        <v>46</v>
      </c>
      <c r="H751" s="2">
        <v>43910</v>
      </c>
      <c r="I751" s="2" t="s">
        <v>25</v>
      </c>
      <c r="J751" s="2">
        <v>44454</v>
      </c>
      <c r="K751" s="3"/>
      <c r="L751" s="3">
        <v>575000</v>
      </c>
      <c r="M751" s="3">
        <v>575000</v>
      </c>
      <c r="N751" s="1">
        <v>1</v>
      </c>
      <c r="O751" s="1">
        <v>0</v>
      </c>
      <c r="P751" s="1">
        <v>1</v>
      </c>
      <c r="Q751" s="3"/>
      <c r="R751" s="3"/>
      <c r="S751" s="3">
        <v>575000</v>
      </c>
      <c r="T751" s="1">
        <v>1.4904109999999999</v>
      </c>
      <c r="U751" s="3"/>
      <c r="V751" s="3"/>
      <c r="X751" s="1">
        <v>575000</v>
      </c>
      <c r="Y751" s="22">
        <v>1.4904109999999999</v>
      </c>
      <c r="Z751" s="4">
        <f>Table1[[#This Row],[totalTimeKept]]*$AD$3</f>
        <v>22356.164999999997</v>
      </c>
      <c r="AA751" s="4">
        <f>Y751-Z751</f>
        <v>-22354.674588999998</v>
      </c>
    </row>
    <row r="752" spans="1:27" x14ac:dyDescent="0.3">
      <c r="A752" s="1">
        <v>10782650</v>
      </c>
      <c r="B752" s="1" t="s">
        <v>1191</v>
      </c>
      <c r="C752" s="1" t="s">
        <v>1192</v>
      </c>
      <c r="D752" s="1">
        <v>9905195</v>
      </c>
      <c r="E752" s="1">
        <v>0</v>
      </c>
      <c r="F752" s="1" t="s">
        <v>25</v>
      </c>
      <c r="G752" s="1" t="s">
        <v>46</v>
      </c>
      <c r="H752" s="2">
        <v>43920</v>
      </c>
      <c r="I752" s="2" t="s">
        <v>25</v>
      </c>
      <c r="J752" s="2">
        <v>44452</v>
      </c>
      <c r="K752" s="3"/>
      <c r="L752" s="3">
        <v>220000</v>
      </c>
      <c r="M752" s="3">
        <v>220000</v>
      </c>
      <c r="N752" s="1">
        <v>1</v>
      </c>
      <c r="O752" s="1">
        <v>0</v>
      </c>
      <c r="P752" s="1">
        <v>1</v>
      </c>
      <c r="Q752" s="3"/>
      <c r="R752" s="3"/>
      <c r="S752" s="3">
        <v>220000</v>
      </c>
      <c r="T752" s="1">
        <v>1.4575340000000001</v>
      </c>
      <c r="U752" s="3"/>
      <c r="V752" s="3"/>
      <c r="X752" s="1">
        <v>220000</v>
      </c>
      <c r="Y752" s="22">
        <v>1.4575340000000001</v>
      </c>
      <c r="Z752" s="4">
        <f>Table1[[#This Row],[totalTimeKept]]*$AD$3</f>
        <v>21863.010000000002</v>
      </c>
      <c r="AA752" s="4">
        <f>Y752-Z752</f>
        <v>-21861.552466000001</v>
      </c>
    </row>
    <row r="753" spans="1:27" x14ac:dyDescent="0.3">
      <c r="A753" s="1">
        <v>10782652</v>
      </c>
      <c r="B753" s="1" t="s">
        <v>1193</v>
      </c>
      <c r="C753" s="1" t="s">
        <v>125</v>
      </c>
      <c r="D753" s="1">
        <v>6863797</v>
      </c>
      <c r="E753" s="1">
        <v>0</v>
      </c>
      <c r="F753" s="1" t="s">
        <v>25</v>
      </c>
      <c r="G753" s="1" t="s">
        <v>349</v>
      </c>
      <c r="H753" s="2">
        <v>43924</v>
      </c>
      <c r="I753" s="1" t="s">
        <v>25</v>
      </c>
      <c r="J753" s="2">
        <v>44148</v>
      </c>
      <c r="K753" s="3"/>
      <c r="L753" s="3">
        <v>60000</v>
      </c>
      <c r="M753" s="3">
        <v>60000</v>
      </c>
      <c r="N753" s="1">
        <v>1</v>
      </c>
      <c r="O753" s="1">
        <v>0</v>
      </c>
      <c r="P753" s="1">
        <v>1</v>
      </c>
      <c r="Q753" s="3"/>
      <c r="R753" s="3"/>
      <c r="S753" s="3">
        <v>60000</v>
      </c>
      <c r="T753" s="1">
        <v>0.61369859999999998</v>
      </c>
      <c r="U753" s="3"/>
      <c r="V753" s="3"/>
      <c r="X753" s="1">
        <v>60000</v>
      </c>
      <c r="Y753" s="22">
        <v>0.61369859999999998</v>
      </c>
      <c r="Z753" s="4">
        <f>Table1[[#This Row],[totalTimeKept]]*$AD$3</f>
        <v>9205.4789999999994</v>
      </c>
      <c r="AA753" s="4">
        <f>Y753-Z753</f>
        <v>-9204.8653013999992</v>
      </c>
    </row>
    <row r="754" spans="1:27" x14ac:dyDescent="0.3">
      <c r="A754" s="1">
        <v>10783296</v>
      </c>
      <c r="B754" s="1" t="s">
        <v>1194</v>
      </c>
      <c r="C754" s="1" t="s">
        <v>1195</v>
      </c>
      <c r="D754" s="1">
        <v>9280763</v>
      </c>
      <c r="E754" s="1">
        <v>118159</v>
      </c>
      <c r="F754" s="1" t="s">
        <v>46</v>
      </c>
      <c r="G754" s="1" t="s">
        <v>25</v>
      </c>
      <c r="H754" s="2">
        <v>43905</v>
      </c>
      <c r="I754" s="2">
        <v>44458</v>
      </c>
      <c r="J754" s="1" t="s">
        <v>25</v>
      </c>
      <c r="K754" s="3">
        <v>180000</v>
      </c>
      <c r="L754" s="3"/>
      <c r="M754" s="3">
        <v>-180000</v>
      </c>
      <c r="N754" s="1">
        <v>0</v>
      </c>
      <c r="O754" s="1">
        <v>1</v>
      </c>
      <c r="P754" s="1">
        <v>0</v>
      </c>
      <c r="Q754" s="3"/>
      <c r="R754" s="3"/>
      <c r="S754" s="3">
        <v>-61841</v>
      </c>
      <c r="T754" s="1">
        <v>3.4164379999999999</v>
      </c>
      <c r="U754" s="3"/>
      <c r="V754" s="3"/>
      <c r="X754" s="1">
        <v>-61841</v>
      </c>
      <c r="Y754" s="22">
        <v>3.4164379999999999</v>
      </c>
      <c r="Z754" s="4">
        <f>Table1[[#This Row],[totalTimeKept]]*$AD$3</f>
        <v>51246.57</v>
      </c>
      <c r="AA754" s="4">
        <f>Y754-Z754</f>
        <v>-51243.153562</v>
      </c>
    </row>
    <row r="755" spans="1:27" x14ac:dyDescent="0.3">
      <c r="A755" s="1">
        <v>10783389</v>
      </c>
      <c r="B755" s="1" t="s">
        <v>1196</v>
      </c>
      <c r="C755" s="1" t="s">
        <v>1197</v>
      </c>
      <c r="D755" s="1">
        <v>9943205</v>
      </c>
      <c r="E755" s="1">
        <v>59874</v>
      </c>
      <c r="F755" s="1" t="s">
        <v>46</v>
      </c>
      <c r="G755" s="1" t="s">
        <v>25</v>
      </c>
      <c r="H755" s="2">
        <v>43917</v>
      </c>
      <c r="I755" s="2">
        <v>44456</v>
      </c>
      <c r="J755" s="1" t="s">
        <v>25</v>
      </c>
      <c r="K755" s="3">
        <v>275000</v>
      </c>
      <c r="L755" s="3"/>
      <c r="M755" s="3">
        <v>-275000</v>
      </c>
      <c r="N755" s="1">
        <v>0</v>
      </c>
      <c r="O755" s="1">
        <v>1</v>
      </c>
      <c r="P755" s="1">
        <v>0</v>
      </c>
      <c r="Q755" s="3"/>
      <c r="R755" s="3"/>
      <c r="S755" s="3">
        <v>-215126</v>
      </c>
      <c r="T755" s="1">
        <v>3.4219179999999998</v>
      </c>
      <c r="U755" s="3"/>
      <c r="V755" s="3"/>
      <c r="X755" s="1">
        <v>-215126</v>
      </c>
      <c r="Y755" s="22">
        <v>3.4219179999999998</v>
      </c>
      <c r="Z755" s="4">
        <f>Table1[[#This Row],[totalTimeKept]]*$AD$3</f>
        <v>51328.77</v>
      </c>
      <c r="AA755" s="4">
        <f>Y755-Z755</f>
        <v>-51325.348081999997</v>
      </c>
    </row>
    <row r="756" spans="1:27" x14ac:dyDescent="0.3">
      <c r="A756" s="1">
        <v>10784102</v>
      </c>
      <c r="B756" s="1" t="s">
        <v>1198</v>
      </c>
      <c r="C756" s="1" t="s">
        <v>1199</v>
      </c>
      <c r="D756" s="1">
        <v>5388317</v>
      </c>
      <c r="E756" s="1">
        <v>79300</v>
      </c>
      <c r="F756" s="1" t="s">
        <v>46</v>
      </c>
      <c r="G756" s="1" t="s">
        <v>25</v>
      </c>
      <c r="H756" s="2">
        <v>43907</v>
      </c>
      <c r="I756" s="2">
        <v>44456</v>
      </c>
      <c r="J756" s="2" t="s">
        <v>25</v>
      </c>
      <c r="K756" s="3">
        <v>760000</v>
      </c>
      <c r="L756" s="3"/>
      <c r="M756" s="3">
        <v>-760000</v>
      </c>
      <c r="N756" s="1">
        <v>0</v>
      </c>
      <c r="O756" s="1">
        <v>1</v>
      </c>
      <c r="P756" s="1">
        <v>0</v>
      </c>
      <c r="Q756" s="3"/>
      <c r="R756" s="3"/>
      <c r="S756" s="3">
        <v>-680700</v>
      </c>
      <c r="T756" s="1">
        <v>3.4219179999999998</v>
      </c>
      <c r="U756" s="3"/>
      <c r="V756" s="3"/>
      <c r="X756" s="1">
        <v>-680700</v>
      </c>
      <c r="Y756" s="22">
        <v>3.4219179999999998</v>
      </c>
      <c r="Z756" s="4">
        <f>Table1[[#This Row],[totalTimeKept]]*$AD$3</f>
        <v>51328.77</v>
      </c>
      <c r="AA756" s="4">
        <f>Y756-Z756</f>
        <v>-51325.348081999997</v>
      </c>
    </row>
    <row r="757" spans="1:27" x14ac:dyDescent="0.3">
      <c r="A757" s="1">
        <v>10784815</v>
      </c>
      <c r="B757" s="1" t="s">
        <v>1200</v>
      </c>
      <c r="C757" s="1" t="s">
        <v>1101</v>
      </c>
      <c r="D757" s="1">
        <v>6879147</v>
      </c>
      <c r="E757" s="1">
        <v>0</v>
      </c>
      <c r="F757" s="1" t="s">
        <v>25</v>
      </c>
      <c r="G757" s="1" t="s">
        <v>46</v>
      </c>
      <c r="H757" s="2">
        <v>43902</v>
      </c>
      <c r="I757" s="2" t="s">
        <v>25</v>
      </c>
      <c r="J757" s="2">
        <v>44453</v>
      </c>
      <c r="K757" s="3"/>
      <c r="L757" s="3">
        <v>550000</v>
      </c>
      <c r="M757" s="3">
        <v>550000</v>
      </c>
      <c r="N757" s="1">
        <v>1</v>
      </c>
      <c r="O757" s="1">
        <v>0</v>
      </c>
      <c r="P757" s="1">
        <v>1</v>
      </c>
      <c r="Q757" s="3"/>
      <c r="R757" s="3"/>
      <c r="S757" s="3">
        <v>550000</v>
      </c>
      <c r="T757" s="1">
        <v>1.5095890000000001</v>
      </c>
      <c r="U757" s="3"/>
      <c r="V757" s="3"/>
      <c r="X757" s="1">
        <v>550000</v>
      </c>
      <c r="Y757" s="22">
        <v>1.5095890000000001</v>
      </c>
      <c r="Z757" s="4">
        <f>Table1[[#This Row],[totalTimeKept]]*$AD$3</f>
        <v>22643.835000000003</v>
      </c>
      <c r="AA757" s="4">
        <f>Y757-Z757</f>
        <v>-22642.325411000002</v>
      </c>
    </row>
    <row r="758" spans="1:27" x14ac:dyDescent="0.3">
      <c r="A758" s="1">
        <v>10786017</v>
      </c>
      <c r="B758" s="1" t="s">
        <v>1201</v>
      </c>
      <c r="C758" s="1" t="s">
        <v>1202</v>
      </c>
      <c r="D758" s="1">
        <v>9310703</v>
      </c>
      <c r="E758" s="1">
        <v>32856</v>
      </c>
      <c r="F758" s="1" t="s">
        <v>46</v>
      </c>
      <c r="G758" s="1" t="s">
        <v>846</v>
      </c>
      <c r="H758" s="2">
        <v>43904</v>
      </c>
      <c r="I758" s="2">
        <v>44458</v>
      </c>
      <c r="J758" s="2">
        <v>45426</v>
      </c>
      <c r="K758" s="3">
        <v>140000</v>
      </c>
      <c r="L758" s="3">
        <v>36000</v>
      </c>
      <c r="M758" s="3">
        <v>-104000</v>
      </c>
      <c r="N758" s="1">
        <v>0</v>
      </c>
      <c r="O758" s="1">
        <v>1</v>
      </c>
      <c r="P758" s="1">
        <v>1</v>
      </c>
      <c r="Q758" s="3"/>
      <c r="R758" s="3"/>
      <c r="S758" s="3">
        <v>-71144</v>
      </c>
      <c r="T758" s="1">
        <v>2.6520549999999998</v>
      </c>
      <c r="U758" s="3"/>
      <c r="V758" s="3"/>
      <c r="X758" s="1">
        <v>-71144</v>
      </c>
      <c r="Y758" s="22">
        <v>2.6520549999999998</v>
      </c>
      <c r="Z758" s="4">
        <f>Table1[[#This Row],[totalTimeKept]]*$AD$3</f>
        <v>39780.824999999997</v>
      </c>
      <c r="AA758" s="4">
        <f>Y758-Z758</f>
        <v>-39778.172944999998</v>
      </c>
    </row>
    <row r="759" spans="1:27" x14ac:dyDescent="0.3">
      <c r="A759" s="1">
        <v>10786773</v>
      </c>
      <c r="B759" s="1" t="s">
        <v>1203</v>
      </c>
      <c r="C759" s="1" t="s">
        <v>175</v>
      </c>
      <c r="D759" s="1">
        <v>7493049</v>
      </c>
      <c r="E759" s="1">
        <v>0</v>
      </c>
      <c r="F759" s="1" t="s">
        <v>25</v>
      </c>
      <c r="G759" s="1" t="s">
        <v>349</v>
      </c>
      <c r="H759" s="2">
        <v>43940</v>
      </c>
      <c r="I759" s="2" t="s">
        <v>25</v>
      </c>
      <c r="J759" s="2">
        <v>44147</v>
      </c>
      <c r="K759" s="3"/>
      <c r="L759" s="3">
        <v>20000</v>
      </c>
      <c r="M759" s="3">
        <v>20000</v>
      </c>
      <c r="N759" s="1">
        <v>1</v>
      </c>
      <c r="O759" s="1">
        <v>0</v>
      </c>
      <c r="P759" s="1">
        <v>1</v>
      </c>
      <c r="Q759" s="3"/>
      <c r="R759" s="3"/>
      <c r="S759" s="3">
        <v>20000</v>
      </c>
      <c r="T759" s="1">
        <v>0.5671233</v>
      </c>
      <c r="U759" s="3"/>
      <c r="V759" s="3"/>
      <c r="X759" s="1">
        <v>20000</v>
      </c>
      <c r="Y759" s="22">
        <v>0.5671233</v>
      </c>
      <c r="Z759" s="4">
        <f>Table1[[#This Row],[totalTimeKept]]*$AD$3</f>
        <v>8506.8495000000003</v>
      </c>
      <c r="AA759" s="4">
        <f>Y759-Z759</f>
        <v>-8506.2823767000009</v>
      </c>
    </row>
    <row r="760" spans="1:27" x14ac:dyDescent="0.3">
      <c r="A760" s="1">
        <v>10787169</v>
      </c>
      <c r="B760" s="1" t="s">
        <v>1204</v>
      </c>
      <c r="C760" s="1" t="s">
        <v>309</v>
      </c>
      <c r="D760" s="1">
        <v>8592303</v>
      </c>
      <c r="E760" s="1">
        <v>0</v>
      </c>
      <c r="F760" s="1" t="s">
        <v>25</v>
      </c>
      <c r="G760" s="1" t="s">
        <v>349</v>
      </c>
      <c r="H760" s="2">
        <v>43926</v>
      </c>
      <c r="I760" s="2" t="s">
        <v>25</v>
      </c>
      <c r="J760" s="2">
        <v>44146</v>
      </c>
      <c r="K760" s="3"/>
      <c r="L760" s="3">
        <v>175000</v>
      </c>
      <c r="M760" s="3">
        <v>175000</v>
      </c>
      <c r="N760" s="1">
        <v>1</v>
      </c>
      <c r="O760" s="1">
        <v>0</v>
      </c>
      <c r="P760" s="1">
        <v>1</v>
      </c>
      <c r="Q760" s="3"/>
      <c r="R760" s="3"/>
      <c r="S760" s="3">
        <v>175000</v>
      </c>
      <c r="T760" s="1">
        <v>0.60273980000000005</v>
      </c>
      <c r="U760" s="3"/>
      <c r="V760" s="3"/>
      <c r="X760" s="1">
        <v>175000</v>
      </c>
      <c r="Y760" s="22">
        <v>0.60273980000000005</v>
      </c>
      <c r="Z760" s="4">
        <f>Table1[[#This Row],[totalTimeKept]]*$AD$3</f>
        <v>9041.0970000000016</v>
      </c>
      <c r="AA760" s="4">
        <f>Y760-Z760</f>
        <v>-9040.494260200001</v>
      </c>
    </row>
    <row r="761" spans="1:27" x14ac:dyDescent="0.3">
      <c r="A761" s="1">
        <v>10787172</v>
      </c>
      <c r="B761" s="1" t="s">
        <v>1205</v>
      </c>
      <c r="C761" s="1" t="s">
        <v>173</v>
      </c>
      <c r="D761" s="1">
        <v>7488349</v>
      </c>
      <c r="E761" s="1">
        <v>0</v>
      </c>
      <c r="F761" s="1" t="s">
        <v>25</v>
      </c>
      <c r="G761" s="1" t="s">
        <v>24</v>
      </c>
      <c r="H761" s="2">
        <v>43929</v>
      </c>
      <c r="I761" s="2" t="s">
        <v>25</v>
      </c>
      <c r="J761" s="2">
        <v>45244</v>
      </c>
      <c r="K761" s="3"/>
      <c r="L761" s="3">
        <v>32000</v>
      </c>
      <c r="M761" s="3">
        <v>32000</v>
      </c>
      <c r="N761" s="1">
        <v>1</v>
      </c>
      <c r="O761" s="1">
        <v>0</v>
      </c>
      <c r="P761" s="1">
        <v>1</v>
      </c>
      <c r="Q761" s="3"/>
      <c r="R761" s="3"/>
      <c r="S761" s="3">
        <v>32000</v>
      </c>
      <c r="T761" s="1">
        <v>3.6027399999999998</v>
      </c>
      <c r="U761" s="3"/>
      <c r="V761" s="3"/>
      <c r="X761" s="1">
        <v>32000</v>
      </c>
      <c r="Y761" s="22">
        <v>3.6027399999999998</v>
      </c>
      <c r="Z761" s="4">
        <f>Table1[[#This Row],[totalTimeKept]]*$AD$3</f>
        <v>54041.1</v>
      </c>
      <c r="AA761" s="4">
        <f>Y761-Z761</f>
        <v>-54037.497259999996</v>
      </c>
    </row>
    <row r="762" spans="1:27" x14ac:dyDescent="0.3">
      <c r="A762" s="1">
        <v>10791286</v>
      </c>
      <c r="B762" s="1" t="s">
        <v>1206</v>
      </c>
      <c r="C762" s="1" t="s">
        <v>1207</v>
      </c>
      <c r="D762" s="1">
        <v>7157334</v>
      </c>
      <c r="E762" s="1">
        <v>23810</v>
      </c>
      <c r="F762" s="1" t="s">
        <v>46</v>
      </c>
      <c r="G762" s="1" t="s">
        <v>25</v>
      </c>
      <c r="H762" s="2">
        <v>43950</v>
      </c>
      <c r="I762" s="2">
        <v>44456</v>
      </c>
      <c r="J762" s="1" t="s">
        <v>25</v>
      </c>
      <c r="K762" s="3">
        <v>300000</v>
      </c>
      <c r="L762" s="3"/>
      <c r="M762" s="3">
        <v>-300000</v>
      </c>
      <c r="N762" s="1">
        <v>0</v>
      </c>
      <c r="O762" s="1">
        <v>1</v>
      </c>
      <c r="P762" s="1">
        <v>0</v>
      </c>
      <c r="Q762" s="3"/>
      <c r="R762" s="3"/>
      <c r="S762" s="3">
        <v>-276190</v>
      </c>
      <c r="T762" s="1">
        <v>3.4219179999999998</v>
      </c>
      <c r="U762" s="3"/>
      <c r="V762" s="3"/>
      <c r="X762" s="1">
        <v>-276190</v>
      </c>
      <c r="Y762" s="22">
        <v>3.4219179999999998</v>
      </c>
      <c r="Z762" s="4">
        <f>Table1[[#This Row],[totalTimeKept]]*$AD$3</f>
        <v>51328.77</v>
      </c>
      <c r="AA762" s="4">
        <f>Y762-Z762</f>
        <v>-51325.348081999997</v>
      </c>
    </row>
    <row r="763" spans="1:27" x14ac:dyDescent="0.3">
      <c r="A763" s="1">
        <v>10792944</v>
      </c>
      <c r="B763" s="1" t="s">
        <v>1208</v>
      </c>
      <c r="C763" s="1" t="s">
        <v>1209</v>
      </c>
      <c r="D763" s="1">
        <v>8914437</v>
      </c>
      <c r="E763" s="1">
        <v>704900</v>
      </c>
      <c r="F763" s="1" t="s">
        <v>46</v>
      </c>
      <c r="G763" s="1" t="s">
        <v>846</v>
      </c>
      <c r="H763" s="2">
        <v>43922</v>
      </c>
      <c r="I763" s="2">
        <v>44454</v>
      </c>
      <c r="J763" s="2">
        <v>45595</v>
      </c>
      <c r="K763" s="3">
        <v>775000</v>
      </c>
      <c r="L763" s="3">
        <v>375000</v>
      </c>
      <c r="M763" s="3">
        <v>-400000</v>
      </c>
      <c r="N763" s="1">
        <v>0</v>
      </c>
      <c r="O763" s="1">
        <v>1</v>
      </c>
      <c r="P763" s="1">
        <v>1</v>
      </c>
      <c r="Q763" s="3"/>
      <c r="R763" s="3"/>
      <c r="S763" s="3">
        <v>304900</v>
      </c>
      <c r="T763" s="1">
        <v>3.1260270000000001</v>
      </c>
      <c r="U763" s="3"/>
      <c r="V763" s="3"/>
      <c r="X763" s="1">
        <v>304900</v>
      </c>
      <c r="Y763" s="22">
        <v>3.1260270000000001</v>
      </c>
      <c r="Z763" s="4">
        <f>Table1[[#This Row],[totalTimeKept]]*$AD$3</f>
        <v>46890.404999999999</v>
      </c>
      <c r="AA763" s="4">
        <f>Y763-Z763</f>
        <v>-46887.278973</v>
      </c>
    </row>
    <row r="764" spans="1:27" x14ac:dyDescent="0.3">
      <c r="A764" s="1">
        <v>10794110</v>
      </c>
      <c r="B764" s="1" t="s">
        <v>1210</v>
      </c>
      <c r="C764" s="1" t="s">
        <v>1211</v>
      </c>
      <c r="D764" s="1">
        <v>8858249</v>
      </c>
      <c r="E764" s="1">
        <v>103218</v>
      </c>
      <c r="F764" s="1" t="s">
        <v>46</v>
      </c>
      <c r="G764" s="1" t="s">
        <v>25</v>
      </c>
      <c r="H764" s="2">
        <v>43959</v>
      </c>
      <c r="I764" s="2">
        <v>44456</v>
      </c>
      <c r="J764" s="2" t="s">
        <v>25</v>
      </c>
      <c r="K764" s="3">
        <v>440000</v>
      </c>
      <c r="L764" s="3"/>
      <c r="M764" s="3">
        <v>-440000</v>
      </c>
      <c r="N764" s="1">
        <v>0</v>
      </c>
      <c r="O764" s="1">
        <v>1</v>
      </c>
      <c r="P764" s="1">
        <v>0</v>
      </c>
      <c r="Q764" s="3"/>
      <c r="R764" s="3"/>
      <c r="S764" s="3">
        <v>-336782</v>
      </c>
      <c r="T764" s="1">
        <v>3.4219179999999998</v>
      </c>
      <c r="U764" s="3"/>
      <c r="V764" s="3"/>
      <c r="X764" s="1">
        <v>-336782</v>
      </c>
      <c r="Y764" s="22">
        <v>3.4219179999999998</v>
      </c>
      <c r="Z764" s="4">
        <f>Table1[[#This Row],[totalTimeKept]]*$AD$3</f>
        <v>51328.77</v>
      </c>
      <c r="AA764" s="4">
        <f>Y764-Z764</f>
        <v>-51325.348081999997</v>
      </c>
    </row>
    <row r="765" spans="1:27" x14ac:dyDescent="0.3">
      <c r="A765" s="1">
        <v>10794184</v>
      </c>
      <c r="B765" s="1" t="s">
        <v>1212</v>
      </c>
      <c r="C765" s="1" t="s">
        <v>1213</v>
      </c>
      <c r="D765" s="1">
        <v>8541824</v>
      </c>
      <c r="E765" s="1">
        <v>0</v>
      </c>
      <c r="F765" s="1" t="s">
        <v>46</v>
      </c>
      <c r="G765" s="1" t="s">
        <v>25</v>
      </c>
      <c r="H765" s="2">
        <v>43959</v>
      </c>
      <c r="I765" s="2">
        <v>44458</v>
      </c>
      <c r="J765" s="2" t="s">
        <v>25</v>
      </c>
      <c r="K765" s="3">
        <v>300000</v>
      </c>
      <c r="L765" s="3"/>
      <c r="M765" s="3">
        <v>-300000</v>
      </c>
      <c r="N765" s="1">
        <v>0</v>
      </c>
      <c r="O765" s="1">
        <v>1</v>
      </c>
      <c r="P765" s="1">
        <v>0</v>
      </c>
      <c r="Q765" s="3"/>
      <c r="R765" s="3"/>
      <c r="S765" s="3">
        <v>-300000</v>
      </c>
      <c r="T765" s="1">
        <v>3.4164379999999999</v>
      </c>
      <c r="U765" s="3"/>
      <c r="V765" s="3"/>
      <c r="X765" s="1">
        <v>-300000</v>
      </c>
      <c r="Y765" s="22">
        <v>3.4164379999999999</v>
      </c>
      <c r="Z765" s="4">
        <f>Table1[[#This Row],[totalTimeKept]]*$AD$3</f>
        <v>51246.57</v>
      </c>
      <c r="AA765" s="4">
        <f>Y765-Z765</f>
        <v>-51243.153562</v>
      </c>
    </row>
    <row r="766" spans="1:27" x14ac:dyDescent="0.3">
      <c r="A766" s="1">
        <v>10794544</v>
      </c>
      <c r="B766" s="1" t="s">
        <v>1214</v>
      </c>
      <c r="C766" s="1" t="s">
        <v>613</v>
      </c>
      <c r="D766" s="1">
        <v>9612869</v>
      </c>
      <c r="E766" s="1">
        <v>0</v>
      </c>
      <c r="F766" s="1" t="s">
        <v>25</v>
      </c>
      <c r="G766" s="1" t="s">
        <v>46</v>
      </c>
      <c r="H766" s="2">
        <v>43862</v>
      </c>
      <c r="I766" s="2" t="s">
        <v>25</v>
      </c>
      <c r="J766" s="2">
        <v>44456</v>
      </c>
      <c r="K766" s="3"/>
      <c r="L766" s="3">
        <v>105000</v>
      </c>
      <c r="M766" s="3">
        <v>105000</v>
      </c>
      <c r="N766" s="1">
        <v>1</v>
      </c>
      <c r="O766" s="1">
        <v>0</v>
      </c>
      <c r="P766" s="1">
        <v>1</v>
      </c>
      <c r="Q766" s="3"/>
      <c r="R766" s="3"/>
      <c r="S766" s="3">
        <v>105000</v>
      </c>
      <c r="T766" s="1">
        <v>1.627397</v>
      </c>
      <c r="U766" s="3"/>
      <c r="V766" s="3"/>
      <c r="X766" s="1">
        <v>105000</v>
      </c>
      <c r="Y766" s="22">
        <v>1.627397</v>
      </c>
      <c r="Z766" s="4">
        <f>Table1[[#This Row],[totalTimeKept]]*$AD$3</f>
        <v>24410.954999999998</v>
      </c>
      <c r="AA766" s="4">
        <f>Y766-Z766</f>
        <v>-24409.327602999998</v>
      </c>
    </row>
    <row r="767" spans="1:27" x14ac:dyDescent="0.3">
      <c r="A767" s="1">
        <v>10794565</v>
      </c>
      <c r="B767" s="1" t="s">
        <v>1215</v>
      </c>
      <c r="C767" s="1" t="s">
        <v>146</v>
      </c>
      <c r="D767" s="1">
        <v>7207486</v>
      </c>
      <c r="E767" s="1">
        <v>0</v>
      </c>
      <c r="F767" s="1" t="s">
        <v>25</v>
      </c>
      <c r="G767" s="1" t="s">
        <v>292</v>
      </c>
      <c r="H767" s="2">
        <v>43879</v>
      </c>
      <c r="I767" s="2" t="s">
        <v>25</v>
      </c>
      <c r="J767" s="2">
        <v>44673</v>
      </c>
      <c r="K767" s="3"/>
      <c r="L767" s="3">
        <v>190000</v>
      </c>
      <c r="M767" s="3">
        <v>190000</v>
      </c>
      <c r="N767" s="1">
        <v>1</v>
      </c>
      <c r="O767" s="1">
        <v>0</v>
      </c>
      <c r="P767" s="1">
        <v>1</v>
      </c>
      <c r="Q767" s="3"/>
      <c r="R767" s="3"/>
      <c r="S767" s="3">
        <v>190000</v>
      </c>
      <c r="T767" s="1">
        <v>2.1753429999999998</v>
      </c>
      <c r="U767" s="3"/>
      <c r="V767" s="3"/>
      <c r="X767" s="1">
        <v>190000</v>
      </c>
      <c r="Y767" s="22">
        <v>2.1753429999999998</v>
      </c>
      <c r="Z767" s="4">
        <f>Table1[[#This Row],[totalTimeKept]]*$AD$3</f>
        <v>32630.144999999997</v>
      </c>
      <c r="AA767" s="4">
        <f>Y767-Z767</f>
        <v>-32627.969656999998</v>
      </c>
    </row>
    <row r="768" spans="1:27" x14ac:dyDescent="0.3">
      <c r="A768" s="1">
        <v>10794594</v>
      </c>
      <c r="B768" s="1" t="s">
        <v>1216</v>
      </c>
      <c r="C768" s="1" t="s">
        <v>1217</v>
      </c>
      <c r="D768" s="1">
        <v>9465100</v>
      </c>
      <c r="E768" s="1">
        <v>0</v>
      </c>
      <c r="F768" s="1" t="s">
        <v>24</v>
      </c>
      <c r="G768" s="1" t="s">
        <v>25</v>
      </c>
      <c r="H768" s="2">
        <v>43958</v>
      </c>
      <c r="I768" s="2">
        <v>45604</v>
      </c>
      <c r="J768" s="1" t="s">
        <v>25</v>
      </c>
      <c r="K768" s="3">
        <v>160000</v>
      </c>
      <c r="L768" s="3"/>
      <c r="M768" s="3">
        <v>-160000</v>
      </c>
      <c r="N768" s="1">
        <v>0</v>
      </c>
      <c r="O768" s="1">
        <v>1</v>
      </c>
      <c r="P768" s="1">
        <v>0</v>
      </c>
      <c r="Q768" s="3">
        <v>0</v>
      </c>
      <c r="R768" s="3"/>
      <c r="S768" s="3">
        <v>-160000</v>
      </c>
      <c r="T768" s="1">
        <v>0.27671230000000002</v>
      </c>
      <c r="U768" s="3"/>
      <c r="V768" s="3"/>
      <c r="X768" s="1">
        <v>-160000</v>
      </c>
      <c r="Y768" s="22">
        <v>0.27671230000000002</v>
      </c>
      <c r="Z768" s="4">
        <f>Table1[[#This Row],[totalTimeKept]]*$AD$3</f>
        <v>4150.6845000000003</v>
      </c>
      <c r="AA768" s="4">
        <f>Y768-Z768</f>
        <v>-4150.4077877</v>
      </c>
    </row>
    <row r="769" spans="1:27" x14ac:dyDescent="0.3">
      <c r="A769" s="1">
        <v>10794616</v>
      </c>
      <c r="B769" s="1" t="s">
        <v>1218</v>
      </c>
      <c r="C769" s="1" t="s">
        <v>1219</v>
      </c>
      <c r="D769" s="1">
        <v>7730238</v>
      </c>
      <c r="E769" s="1">
        <v>0</v>
      </c>
      <c r="F769" s="1" t="s">
        <v>25</v>
      </c>
      <c r="G769" s="1" t="s">
        <v>349</v>
      </c>
      <c r="H769" s="2">
        <v>43956</v>
      </c>
      <c r="I769" s="2" t="s">
        <v>25</v>
      </c>
      <c r="J769" s="2">
        <v>44146</v>
      </c>
      <c r="K769" s="3"/>
      <c r="L769" s="3">
        <v>75000</v>
      </c>
      <c r="M769" s="3">
        <v>75000</v>
      </c>
      <c r="N769" s="1">
        <v>1</v>
      </c>
      <c r="O769" s="1">
        <v>0</v>
      </c>
      <c r="P769" s="1">
        <v>1</v>
      </c>
      <c r="Q769" s="3"/>
      <c r="R769" s="3"/>
      <c r="S769" s="3">
        <v>75000</v>
      </c>
      <c r="T769" s="1">
        <v>0.52054789999999995</v>
      </c>
      <c r="U769" s="3"/>
      <c r="V769" s="3"/>
      <c r="X769" s="1">
        <v>75000</v>
      </c>
      <c r="Y769" s="22">
        <v>0.52054789999999995</v>
      </c>
      <c r="Z769" s="4">
        <f>Table1[[#This Row],[totalTimeKept]]*$AD$3</f>
        <v>7808.218499999999</v>
      </c>
      <c r="AA769" s="4">
        <f>Y769-Z769</f>
        <v>-7807.6979520999994</v>
      </c>
    </row>
    <row r="770" spans="1:27" x14ac:dyDescent="0.3">
      <c r="A770" s="1">
        <v>10795199</v>
      </c>
      <c r="B770" s="1" t="s">
        <v>1220</v>
      </c>
      <c r="C770" s="1" t="s">
        <v>40</v>
      </c>
      <c r="D770" s="1">
        <v>4297755</v>
      </c>
      <c r="E770" s="1">
        <v>0</v>
      </c>
      <c r="F770" s="1" t="s">
        <v>25</v>
      </c>
      <c r="G770" s="1" t="s">
        <v>46</v>
      </c>
      <c r="H770" s="2">
        <v>43961</v>
      </c>
      <c r="I770" s="2" t="s">
        <v>25</v>
      </c>
      <c r="J770" s="2">
        <v>44497</v>
      </c>
      <c r="K770" s="3"/>
      <c r="L770" s="3">
        <v>15000</v>
      </c>
      <c r="M770" s="3">
        <v>15000</v>
      </c>
      <c r="N770" s="1">
        <v>1</v>
      </c>
      <c r="O770" s="1">
        <v>0</v>
      </c>
      <c r="P770" s="1">
        <v>1</v>
      </c>
      <c r="Q770" s="3"/>
      <c r="R770" s="3"/>
      <c r="S770" s="3">
        <v>15000</v>
      </c>
      <c r="T770" s="1">
        <v>1.468493</v>
      </c>
      <c r="U770" s="3"/>
      <c r="V770" s="3"/>
      <c r="X770" s="1">
        <v>15000</v>
      </c>
      <c r="Y770" s="22">
        <v>1.468493</v>
      </c>
      <c r="Z770" s="4">
        <f>Table1[[#This Row],[totalTimeKept]]*$AD$3</f>
        <v>22027.395</v>
      </c>
      <c r="AA770" s="4">
        <f>Y770-Z770</f>
        <v>-22025.926507</v>
      </c>
    </row>
    <row r="771" spans="1:27" x14ac:dyDescent="0.3">
      <c r="A771" s="1">
        <v>10796024</v>
      </c>
      <c r="B771" s="1" t="s">
        <v>1221</v>
      </c>
      <c r="C771" s="1" t="s">
        <v>612</v>
      </c>
      <c r="D771" s="1">
        <v>6559714</v>
      </c>
      <c r="E771" s="1">
        <v>0</v>
      </c>
      <c r="F771" s="1" t="s">
        <v>25</v>
      </c>
      <c r="G771" s="1" t="s">
        <v>46</v>
      </c>
      <c r="H771" s="2">
        <v>43941</v>
      </c>
      <c r="I771" s="2" t="s">
        <v>25</v>
      </c>
      <c r="J771" s="2">
        <v>44454</v>
      </c>
      <c r="K771" s="3"/>
      <c r="L771" s="3">
        <v>200000</v>
      </c>
      <c r="M771" s="3">
        <v>200000</v>
      </c>
      <c r="N771" s="1">
        <v>1</v>
      </c>
      <c r="O771" s="1">
        <v>0</v>
      </c>
      <c r="P771" s="1">
        <v>1</v>
      </c>
      <c r="Q771" s="3"/>
      <c r="R771" s="3"/>
      <c r="S771" s="3">
        <v>200000</v>
      </c>
      <c r="T771" s="1">
        <v>1.4054789999999999</v>
      </c>
      <c r="U771" s="3"/>
      <c r="V771" s="3"/>
      <c r="X771" s="1">
        <v>200000</v>
      </c>
      <c r="Y771" s="22">
        <v>1.4054789999999999</v>
      </c>
      <c r="Z771" s="4">
        <f>Table1[[#This Row],[totalTimeKept]]*$AD$3</f>
        <v>21082.184999999998</v>
      </c>
      <c r="AA771" s="4">
        <f>Y771-Z771</f>
        <v>-21080.779520999997</v>
      </c>
    </row>
    <row r="772" spans="1:27" x14ac:dyDescent="0.3">
      <c r="A772" s="1">
        <v>10796026</v>
      </c>
      <c r="B772" s="1" t="s">
        <v>1222</v>
      </c>
      <c r="C772" s="1" t="s">
        <v>199</v>
      </c>
      <c r="D772" s="1">
        <v>7732950</v>
      </c>
      <c r="E772" s="1">
        <v>0</v>
      </c>
      <c r="F772" s="1" t="s">
        <v>25</v>
      </c>
      <c r="G772" s="1" t="s">
        <v>349</v>
      </c>
      <c r="H772" s="2">
        <v>43951</v>
      </c>
      <c r="I772" s="2" t="s">
        <v>25</v>
      </c>
      <c r="J772" s="2">
        <v>44146</v>
      </c>
      <c r="K772" s="3"/>
      <c r="L772" s="3">
        <v>50000</v>
      </c>
      <c r="M772" s="3">
        <v>50000</v>
      </c>
      <c r="N772" s="1">
        <v>1</v>
      </c>
      <c r="O772" s="1">
        <v>0</v>
      </c>
      <c r="P772" s="1">
        <v>1</v>
      </c>
      <c r="Q772" s="3"/>
      <c r="R772" s="3"/>
      <c r="S772" s="3">
        <v>50000</v>
      </c>
      <c r="T772" s="1">
        <v>0.53424660000000002</v>
      </c>
      <c r="U772" s="3"/>
      <c r="V772" s="3"/>
      <c r="X772" s="1">
        <v>50000</v>
      </c>
      <c r="Y772" s="22">
        <v>0.53424660000000002</v>
      </c>
      <c r="Z772" s="4">
        <f>Table1[[#This Row],[totalTimeKept]]*$AD$3</f>
        <v>8013.6990000000005</v>
      </c>
      <c r="AA772" s="4">
        <f>Y772-Z772</f>
        <v>-8013.1647534000003</v>
      </c>
    </row>
    <row r="773" spans="1:27" x14ac:dyDescent="0.3">
      <c r="A773" s="1">
        <v>10796028</v>
      </c>
      <c r="B773" s="1" t="s">
        <v>1223</v>
      </c>
      <c r="C773" s="1" t="s">
        <v>370</v>
      </c>
      <c r="D773" s="1">
        <v>8858818</v>
      </c>
      <c r="E773" s="1">
        <v>0</v>
      </c>
      <c r="F773" s="1" t="s">
        <v>25</v>
      </c>
      <c r="G773" s="1" t="s">
        <v>292</v>
      </c>
      <c r="H773" s="2">
        <v>43942</v>
      </c>
      <c r="I773" s="2" t="s">
        <v>25</v>
      </c>
      <c r="J773" s="2">
        <v>44672</v>
      </c>
      <c r="K773" s="3"/>
      <c r="L773" s="3">
        <v>30000</v>
      </c>
      <c r="M773" s="3">
        <v>30000</v>
      </c>
      <c r="N773" s="1">
        <v>1</v>
      </c>
      <c r="O773" s="1">
        <v>0</v>
      </c>
      <c r="P773" s="1">
        <v>1</v>
      </c>
      <c r="Q773" s="3"/>
      <c r="R773" s="3"/>
      <c r="S773" s="3">
        <v>30000</v>
      </c>
      <c r="T773" s="1">
        <v>2</v>
      </c>
      <c r="U773" s="3"/>
      <c r="V773" s="3"/>
      <c r="X773" s="1">
        <v>30000</v>
      </c>
      <c r="Y773" s="22">
        <v>2</v>
      </c>
      <c r="Z773" s="4">
        <f>Table1[[#This Row],[totalTimeKept]]*$AD$3</f>
        <v>30000</v>
      </c>
      <c r="AA773" s="4">
        <f>Y773-Z773</f>
        <v>-29998</v>
      </c>
    </row>
    <row r="774" spans="1:27" x14ac:dyDescent="0.3">
      <c r="A774" s="1">
        <v>10796033</v>
      </c>
      <c r="B774" s="1" t="s">
        <v>1224</v>
      </c>
      <c r="C774" s="1" t="s">
        <v>262</v>
      </c>
      <c r="D774" s="1">
        <v>8298077</v>
      </c>
      <c r="E774" s="1">
        <v>0</v>
      </c>
      <c r="F774" s="1" t="s">
        <v>25</v>
      </c>
      <c r="G774" s="1" t="s">
        <v>46</v>
      </c>
      <c r="H774" s="2">
        <v>43935</v>
      </c>
      <c r="I774" s="2" t="s">
        <v>25</v>
      </c>
      <c r="J774" s="2">
        <v>44458</v>
      </c>
      <c r="K774" s="3"/>
      <c r="L774" s="3">
        <v>160000</v>
      </c>
      <c r="M774" s="3">
        <v>160000</v>
      </c>
      <c r="N774" s="1">
        <v>1</v>
      </c>
      <c r="O774" s="1">
        <v>0</v>
      </c>
      <c r="P774" s="1">
        <v>1</v>
      </c>
      <c r="Q774" s="3"/>
      <c r="R774" s="3"/>
      <c r="S774" s="3">
        <v>160000</v>
      </c>
      <c r="T774" s="1">
        <v>1.432877</v>
      </c>
      <c r="U774" s="3"/>
      <c r="V774" s="3"/>
      <c r="X774" s="1">
        <v>160000</v>
      </c>
      <c r="Y774" s="22">
        <v>1.432877</v>
      </c>
      <c r="Z774" s="4">
        <f>Table1[[#This Row],[totalTimeKept]]*$AD$3</f>
        <v>21493.154999999999</v>
      </c>
      <c r="AA774" s="4">
        <f>Y774-Z774</f>
        <v>-21491.722123</v>
      </c>
    </row>
    <row r="775" spans="1:27" x14ac:dyDescent="0.3">
      <c r="A775" s="1">
        <v>10796038</v>
      </c>
      <c r="B775" s="1" t="s">
        <v>1225</v>
      </c>
      <c r="C775" s="1" t="s">
        <v>1226</v>
      </c>
      <c r="D775" s="1">
        <v>7516145</v>
      </c>
      <c r="E775" s="1">
        <v>0</v>
      </c>
      <c r="F775" s="1" t="s">
        <v>25</v>
      </c>
      <c r="G775" s="1" t="s">
        <v>46</v>
      </c>
      <c r="H775" s="2">
        <v>43945</v>
      </c>
      <c r="I775" s="2" t="s">
        <v>25</v>
      </c>
      <c r="J775" s="2">
        <v>44458</v>
      </c>
      <c r="K775" s="3"/>
      <c r="L775" s="3">
        <v>75000</v>
      </c>
      <c r="M775" s="3">
        <v>75000</v>
      </c>
      <c r="N775" s="1">
        <v>1</v>
      </c>
      <c r="O775" s="1">
        <v>0</v>
      </c>
      <c r="P775" s="1">
        <v>1</v>
      </c>
      <c r="Q775" s="3"/>
      <c r="R775" s="3"/>
      <c r="S775" s="3">
        <v>75000</v>
      </c>
      <c r="T775" s="1">
        <v>1.4054789999999999</v>
      </c>
      <c r="U775" s="3"/>
      <c r="V775" s="3"/>
      <c r="X775" s="1">
        <v>75000</v>
      </c>
      <c r="Y775" s="22">
        <v>1.4054789999999999</v>
      </c>
      <c r="Z775" s="4">
        <f>Table1[[#This Row],[totalTimeKept]]*$AD$3</f>
        <v>21082.184999999998</v>
      </c>
      <c r="AA775" s="4">
        <f>Y775-Z775</f>
        <v>-21080.779520999997</v>
      </c>
    </row>
    <row r="776" spans="1:27" x14ac:dyDescent="0.3">
      <c r="A776" s="1">
        <v>10796040</v>
      </c>
      <c r="B776" s="1" t="s">
        <v>1227</v>
      </c>
      <c r="C776" s="1" t="s">
        <v>703</v>
      </c>
      <c r="D776" s="1">
        <v>8567762</v>
      </c>
      <c r="E776" s="1">
        <v>0</v>
      </c>
      <c r="F776" s="1" t="s">
        <v>25</v>
      </c>
      <c r="G776" s="1" t="s">
        <v>46</v>
      </c>
      <c r="H776" s="2">
        <v>43945</v>
      </c>
      <c r="I776" s="2" t="s">
        <v>25</v>
      </c>
      <c r="J776" s="2">
        <v>44494</v>
      </c>
      <c r="K776" s="3"/>
      <c r="L776" s="3">
        <v>20000</v>
      </c>
      <c r="M776" s="3">
        <v>20000</v>
      </c>
      <c r="N776" s="1">
        <v>1</v>
      </c>
      <c r="O776" s="1">
        <v>0</v>
      </c>
      <c r="P776" s="1">
        <v>1</v>
      </c>
      <c r="Q776" s="3"/>
      <c r="R776" s="3"/>
      <c r="S776" s="3">
        <v>20000</v>
      </c>
      <c r="T776" s="1">
        <v>1.5041100000000001</v>
      </c>
      <c r="U776" s="3"/>
      <c r="V776" s="3"/>
      <c r="X776" s="1">
        <v>20000</v>
      </c>
      <c r="Y776" s="22">
        <v>1.5041100000000001</v>
      </c>
      <c r="Z776" s="4">
        <f>Table1[[#This Row],[totalTimeKept]]*$AD$3</f>
        <v>22561.65</v>
      </c>
      <c r="AA776" s="4">
        <f>Y776-Z776</f>
        <v>-22560.14589</v>
      </c>
    </row>
    <row r="777" spans="1:27" x14ac:dyDescent="0.3">
      <c r="A777" s="1">
        <v>10797254</v>
      </c>
      <c r="B777" s="1" t="s">
        <v>1228</v>
      </c>
      <c r="C777" s="1" t="s">
        <v>47</v>
      </c>
      <c r="D777" s="1">
        <v>4494884</v>
      </c>
      <c r="E777" s="1">
        <v>0</v>
      </c>
      <c r="F777" s="1" t="s">
        <v>25</v>
      </c>
      <c r="G777" s="1" t="s">
        <v>46</v>
      </c>
      <c r="H777" s="2">
        <v>43963</v>
      </c>
      <c r="I777" s="2" t="s">
        <v>25</v>
      </c>
      <c r="J777" s="2">
        <v>44460</v>
      </c>
      <c r="K777" s="3"/>
      <c r="L777" s="3">
        <v>62000</v>
      </c>
      <c r="M777" s="3">
        <v>62000</v>
      </c>
      <c r="N777" s="1">
        <v>1</v>
      </c>
      <c r="O777" s="1">
        <v>0</v>
      </c>
      <c r="P777" s="1">
        <v>1</v>
      </c>
      <c r="Q777" s="3"/>
      <c r="R777" s="3"/>
      <c r="S777" s="3">
        <v>62000</v>
      </c>
      <c r="T777" s="1">
        <v>1.3616440000000001</v>
      </c>
      <c r="U777" s="3"/>
      <c r="V777" s="3"/>
      <c r="X777" s="1">
        <v>62000</v>
      </c>
      <c r="Y777" s="22">
        <v>1.3616440000000001</v>
      </c>
      <c r="Z777" s="4">
        <f>Table1[[#This Row],[totalTimeKept]]*$AD$3</f>
        <v>20424.66</v>
      </c>
      <c r="AA777" s="4">
        <f>Y777-Z777</f>
        <v>-20423.298355999999</v>
      </c>
    </row>
    <row r="778" spans="1:27" x14ac:dyDescent="0.3">
      <c r="A778" s="1">
        <v>10797256</v>
      </c>
      <c r="B778" s="1" t="s">
        <v>1229</v>
      </c>
      <c r="C778" s="1" t="s">
        <v>1230</v>
      </c>
      <c r="D778" s="1">
        <v>9507723</v>
      </c>
      <c r="E778" s="1">
        <v>0</v>
      </c>
      <c r="F778" s="1" t="s">
        <v>25</v>
      </c>
      <c r="G778" s="1" t="s">
        <v>46</v>
      </c>
      <c r="H778" s="2">
        <v>43962</v>
      </c>
      <c r="I778" s="2" t="s">
        <v>25</v>
      </c>
      <c r="J778" s="2">
        <v>44208</v>
      </c>
      <c r="K778" s="3"/>
      <c r="L778" s="3">
        <v>15000</v>
      </c>
      <c r="M778" s="3">
        <v>15000</v>
      </c>
      <c r="N778" s="1">
        <v>1</v>
      </c>
      <c r="O778" s="1">
        <v>0</v>
      </c>
      <c r="P778" s="1">
        <v>1</v>
      </c>
      <c r="Q778" s="3"/>
      <c r="R778" s="3"/>
      <c r="S778" s="3">
        <v>15000</v>
      </c>
      <c r="T778" s="1">
        <v>0.67397260000000003</v>
      </c>
      <c r="U778" s="3"/>
      <c r="V778" s="3"/>
      <c r="X778" s="1">
        <v>15000</v>
      </c>
      <c r="Y778" s="22">
        <v>0.67397260000000003</v>
      </c>
      <c r="Z778" s="4">
        <f>Table1[[#This Row],[totalTimeKept]]*$AD$3</f>
        <v>10109.589</v>
      </c>
      <c r="AA778" s="4">
        <f>Y778-Z778</f>
        <v>-10108.9150274</v>
      </c>
    </row>
    <row r="779" spans="1:27" x14ac:dyDescent="0.3">
      <c r="A779" s="1">
        <v>10798494</v>
      </c>
      <c r="B779" s="1" t="s">
        <v>1231</v>
      </c>
      <c r="C779" s="1" t="s">
        <v>1232</v>
      </c>
      <c r="D779" s="1">
        <v>8571337</v>
      </c>
      <c r="E779" s="1">
        <v>0</v>
      </c>
      <c r="F779" s="1" t="s">
        <v>46</v>
      </c>
      <c r="G779" s="1" t="s">
        <v>25</v>
      </c>
      <c r="H779" s="2">
        <v>43918</v>
      </c>
      <c r="I779" s="2">
        <v>44453</v>
      </c>
      <c r="J779" s="2" t="s">
        <v>25</v>
      </c>
      <c r="K779" s="3">
        <v>750000</v>
      </c>
      <c r="L779" s="3"/>
      <c r="M779" s="3">
        <v>-750000</v>
      </c>
      <c r="N779" s="1">
        <v>0</v>
      </c>
      <c r="O779" s="1">
        <v>1</v>
      </c>
      <c r="P779" s="1">
        <v>0</v>
      </c>
      <c r="Q779" s="3"/>
      <c r="R779" s="3"/>
      <c r="S779" s="3">
        <v>-750000</v>
      </c>
      <c r="T779" s="1">
        <v>3.4301370000000002</v>
      </c>
      <c r="U779" s="3"/>
      <c r="V779" s="3"/>
      <c r="X779" s="1">
        <v>-750000</v>
      </c>
      <c r="Y779" s="22">
        <v>3.4301370000000002</v>
      </c>
      <c r="Z779" s="4">
        <f>Table1[[#This Row],[totalTimeKept]]*$AD$3</f>
        <v>51452.055</v>
      </c>
      <c r="AA779" s="4">
        <f>Y779-Z779</f>
        <v>-51448.624862999997</v>
      </c>
    </row>
    <row r="780" spans="1:27" x14ac:dyDescent="0.3">
      <c r="A780" s="1">
        <v>10799391</v>
      </c>
      <c r="B780" s="1" t="s">
        <v>1233</v>
      </c>
      <c r="C780" s="1" t="s">
        <v>1234</v>
      </c>
      <c r="D780" s="1">
        <v>8614666</v>
      </c>
      <c r="E780" s="1">
        <v>40390</v>
      </c>
      <c r="F780" s="1" t="s">
        <v>46</v>
      </c>
      <c r="G780" s="1" t="s">
        <v>25</v>
      </c>
      <c r="H780" s="2">
        <v>43957</v>
      </c>
      <c r="I780" s="2">
        <v>44454</v>
      </c>
      <c r="J780" s="1" t="s">
        <v>25</v>
      </c>
      <c r="K780" s="3">
        <v>850000</v>
      </c>
      <c r="L780" s="3"/>
      <c r="M780" s="3">
        <v>-850000</v>
      </c>
      <c r="N780" s="1">
        <v>0</v>
      </c>
      <c r="O780" s="1">
        <v>1</v>
      </c>
      <c r="P780" s="1">
        <v>0</v>
      </c>
      <c r="Q780" s="3"/>
      <c r="R780" s="3"/>
      <c r="S780" s="3">
        <v>-809610</v>
      </c>
      <c r="T780" s="1">
        <v>3.427397</v>
      </c>
      <c r="U780" s="3"/>
      <c r="V780" s="3"/>
      <c r="X780" s="1">
        <v>-809610</v>
      </c>
      <c r="Y780" s="22">
        <v>3.427397</v>
      </c>
      <c r="Z780" s="4">
        <f>Table1[[#This Row],[totalTimeKept]]*$AD$3</f>
        <v>51410.955000000002</v>
      </c>
      <c r="AA780" s="4">
        <f>Y780-Z780</f>
        <v>-51407.527603000002</v>
      </c>
    </row>
    <row r="781" spans="1:27" x14ac:dyDescent="0.3">
      <c r="A781" s="1">
        <v>10799580</v>
      </c>
      <c r="B781" s="1" t="s">
        <v>1235</v>
      </c>
      <c r="C781" s="1" t="s">
        <v>71</v>
      </c>
      <c r="D781" s="1">
        <v>5309891</v>
      </c>
      <c r="E781" s="1">
        <v>0</v>
      </c>
      <c r="F781" s="1" t="s">
        <v>25</v>
      </c>
      <c r="G781" s="1" t="s">
        <v>349</v>
      </c>
      <c r="H781" s="2">
        <v>43965</v>
      </c>
      <c r="I781" s="2" t="s">
        <v>25</v>
      </c>
      <c r="J781" s="2">
        <v>44148</v>
      </c>
      <c r="K781" s="3"/>
      <c r="L781" s="3">
        <v>8000</v>
      </c>
      <c r="M781" s="3">
        <v>8000</v>
      </c>
      <c r="N781" s="1">
        <v>1</v>
      </c>
      <c r="O781" s="1">
        <v>0</v>
      </c>
      <c r="P781" s="1">
        <v>1</v>
      </c>
      <c r="Q781" s="3"/>
      <c r="R781" s="3"/>
      <c r="S781" s="3">
        <v>8000</v>
      </c>
      <c r="T781" s="1">
        <v>0.50136979999999998</v>
      </c>
      <c r="U781" s="3"/>
      <c r="V781" s="3"/>
      <c r="X781" s="1">
        <v>8000</v>
      </c>
      <c r="Y781" s="22">
        <v>0.50136979999999998</v>
      </c>
      <c r="Z781" s="4">
        <f>Table1[[#This Row],[totalTimeKept]]*$AD$3</f>
        <v>7520.5469999999996</v>
      </c>
      <c r="AA781" s="4">
        <f>Y781-Z781</f>
        <v>-7520.0456301999993</v>
      </c>
    </row>
    <row r="782" spans="1:27" x14ac:dyDescent="0.3">
      <c r="A782" s="1">
        <v>10799582</v>
      </c>
      <c r="B782" s="1" t="s">
        <v>1236</v>
      </c>
      <c r="C782" s="1" t="s">
        <v>938</v>
      </c>
      <c r="D782" s="1">
        <v>8076646</v>
      </c>
      <c r="E782" s="1">
        <v>0</v>
      </c>
      <c r="F782" s="1" t="s">
        <v>25</v>
      </c>
      <c r="G782" s="1" t="s">
        <v>292</v>
      </c>
      <c r="H782" s="2">
        <v>43948</v>
      </c>
      <c r="I782" s="2" t="s">
        <v>25</v>
      </c>
      <c r="J782" s="2">
        <v>44673</v>
      </c>
      <c r="K782" s="3"/>
      <c r="L782" s="3">
        <v>15000</v>
      </c>
      <c r="M782" s="3">
        <v>15000</v>
      </c>
      <c r="N782" s="1">
        <v>1</v>
      </c>
      <c r="O782" s="1">
        <v>0</v>
      </c>
      <c r="P782" s="1">
        <v>1</v>
      </c>
      <c r="Q782" s="3"/>
      <c r="R782" s="3"/>
      <c r="S782" s="3">
        <v>15000</v>
      </c>
      <c r="T782" s="1">
        <v>1.9863010000000001</v>
      </c>
      <c r="U782" s="3"/>
      <c r="V782" s="3"/>
      <c r="X782" s="1">
        <v>15000</v>
      </c>
      <c r="Y782" s="22">
        <v>1.9863010000000001</v>
      </c>
      <c r="Z782" s="4">
        <f>Table1[[#This Row],[totalTimeKept]]*$AD$3</f>
        <v>29794.515000000003</v>
      </c>
      <c r="AA782" s="4">
        <f>Y782-Z782</f>
        <v>-29792.528699000002</v>
      </c>
    </row>
    <row r="783" spans="1:27" x14ac:dyDescent="0.3">
      <c r="A783" s="1">
        <v>10799583</v>
      </c>
      <c r="B783" s="1" t="s">
        <v>1237</v>
      </c>
      <c r="C783" s="1" t="s">
        <v>579</v>
      </c>
      <c r="D783" s="1">
        <v>9497666</v>
      </c>
      <c r="E783" s="1">
        <v>17160</v>
      </c>
      <c r="F783" s="1" t="s">
        <v>25</v>
      </c>
      <c r="G783" s="1" t="s">
        <v>25</v>
      </c>
      <c r="H783" s="2">
        <v>43938</v>
      </c>
      <c r="I783" s="2" t="s">
        <v>25</v>
      </c>
      <c r="J783" s="1" t="s">
        <v>25</v>
      </c>
      <c r="K783" s="3"/>
      <c r="L783" s="3"/>
      <c r="M783" s="3">
        <v>0</v>
      </c>
      <c r="N783" s="1">
        <v>1</v>
      </c>
      <c r="P783" s="1">
        <v>0</v>
      </c>
      <c r="Q783" s="3"/>
      <c r="R783" s="3"/>
      <c r="S783" s="3">
        <v>17160</v>
      </c>
      <c r="T783" s="1">
        <v>4.8410960000000003</v>
      </c>
      <c r="U783" s="3"/>
      <c r="V783" s="3"/>
      <c r="X783" s="1">
        <v>17160</v>
      </c>
      <c r="Y783" s="22">
        <v>4.8410960000000003</v>
      </c>
      <c r="Z783" s="4">
        <f>Table1[[#This Row],[totalTimeKept]]*$AD$3</f>
        <v>72616.44</v>
      </c>
      <c r="AA783" s="4">
        <f>Y783-Z783</f>
        <v>-72611.598903999999</v>
      </c>
    </row>
    <row r="784" spans="1:27" x14ac:dyDescent="0.3">
      <c r="A784" s="1">
        <v>10799586</v>
      </c>
      <c r="B784" s="1" t="s">
        <v>1238</v>
      </c>
      <c r="C784" s="1" t="s">
        <v>123</v>
      </c>
      <c r="D784" s="1">
        <v>6857532</v>
      </c>
      <c r="E784" s="1">
        <v>0</v>
      </c>
      <c r="F784" s="1" t="s">
        <v>25</v>
      </c>
      <c r="G784" s="1" t="s">
        <v>46</v>
      </c>
      <c r="H784" s="2">
        <v>43959</v>
      </c>
      <c r="I784" s="2" t="s">
        <v>25</v>
      </c>
      <c r="J784" s="2">
        <v>44453</v>
      </c>
      <c r="K784" s="3"/>
      <c r="L784" s="3">
        <v>300000</v>
      </c>
      <c r="M784" s="3">
        <v>300000</v>
      </c>
      <c r="N784" s="1">
        <v>1</v>
      </c>
      <c r="O784" s="1">
        <v>0</v>
      </c>
      <c r="P784" s="1">
        <v>1</v>
      </c>
      <c r="Q784" s="3"/>
      <c r="R784" s="3"/>
      <c r="S784" s="3">
        <v>300000</v>
      </c>
      <c r="T784" s="1">
        <v>1.3534250000000001</v>
      </c>
      <c r="U784" s="3"/>
      <c r="V784" s="3"/>
      <c r="X784" s="1">
        <v>300000</v>
      </c>
      <c r="Y784" s="22">
        <v>1.3534250000000001</v>
      </c>
      <c r="Z784" s="4">
        <f>Table1[[#This Row],[totalTimeKept]]*$AD$3</f>
        <v>20301.375</v>
      </c>
      <c r="AA784" s="4">
        <f>Y784-Z784</f>
        <v>-20300.021574999999</v>
      </c>
    </row>
    <row r="785" spans="1:27" x14ac:dyDescent="0.3">
      <c r="A785" s="1">
        <v>10799905</v>
      </c>
      <c r="B785" s="1" t="s">
        <v>1239</v>
      </c>
      <c r="C785" s="1" t="s">
        <v>1240</v>
      </c>
      <c r="D785" s="1">
        <v>7720797</v>
      </c>
      <c r="E785" s="1">
        <v>106650</v>
      </c>
      <c r="F785" s="1" t="s">
        <v>46</v>
      </c>
      <c r="G785" s="1" t="s">
        <v>25</v>
      </c>
      <c r="H785" s="2">
        <v>43969</v>
      </c>
      <c r="I785" s="2">
        <v>44455</v>
      </c>
      <c r="J785" s="1" t="s">
        <v>25</v>
      </c>
      <c r="K785" s="3">
        <v>75000</v>
      </c>
      <c r="L785" s="3"/>
      <c r="M785" s="3">
        <v>-75000</v>
      </c>
      <c r="N785" s="1">
        <v>0</v>
      </c>
      <c r="O785" s="1">
        <v>1</v>
      </c>
      <c r="P785" s="1">
        <v>0</v>
      </c>
      <c r="Q785" s="3"/>
      <c r="R785" s="3"/>
      <c r="S785" s="3">
        <v>31650</v>
      </c>
      <c r="T785" s="1">
        <v>3.424658</v>
      </c>
      <c r="U785" s="3"/>
      <c r="V785" s="3"/>
      <c r="X785" s="1">
        <v>31650</v>
      </c>
      <c r="Y785" s="22">
        <v>3.424658</v>
      </c>
      <c r="Z785" s="4">
        <f>Table1[[#This Row],[totalTimeKept]]*$AD$3</f>
        <v>51369.87</v>
      </c>
      <c r="AA785" s="4">
        <f>Y785-Z785</f>
        <v>-51366.445341999999</v>
      </c>
    </row>
    <row r="786" spans="1:27" x14ac:dyDescent="0.3">
      <c r="A786" s="1">
        <v>10802857</v>
      </c>
      <c r="B786" s="1" t="s">
        <v>1241</v>
      </c>
      <c r="C786" s="1" t="s">
        <v>1242</v>
      </c>
      <c r="D786" s="1">
        <v>6440877</v>
      </c>
      <c r="E786" s="1">
        <v>0</v>
      </c>
      <c r="F786" s="1" t="s">
        <v>139</v>
      </c>
      <c r="G786" s="1" t="s">
        <v>25</v>
      </c>
      <c r="H786" s="2">
        <v>43944</v>
      </c>
      <c r="I786" s="2">
        <v>45363</v>
      </c>
      <c r="J786" s="1" t="s">
        <v>25</v>
      </c>
      <c r="K786" s="3">
        <v>200000</v>
      </c>
      <c r="L786" s="3"/>
      <c r="M786" s="3">
        <v>-200000</v>
      </c>
      <c r="N786" s="1">
        <v>0</v>
      </c>
      <c r="O786" s="1">
        <v>1</v>
      </c>
      <c r="P786" s="1">
        <v>0</v>
      </c>
      <c r="Q786" s="3">
        <v>110000</v>
      </c>
      <c r="R786" s="3"/>
      <c r="S786" s="3">
        <v>-310000</v>
      </c>
      <c r="T786" s="1">
        <v>0.93698630000000005</v>
      </c>
      <c r="U786" s="3"/>
      <c r="V786" s="3"/>
      <c r="X786" s="1">
        <v>-310000</v>
      </c>
      <c r="Y786" s="22">
        <v>0.93698630000000005</v>
      </c>
      <c r="Z786" s="4">
        <f>Table1[[#This Row],[totalTimeKept]]*$AD$3</f>
        <v>14054.7945</v>
      </c>
      <c r="AA786" s="4">
        <f>Y786-Z786</f>
        <v>-14053.857513700001</v>
      </c>
    </row>
    <row r="787" spans="1:27" x14ac:dyDescent="0.3">
      <c r="A787" s="1">
        <v>10802958</v>
      </c>
      <c r="B787" s="1" t="s">
        <v>1243</v>
      </c>
      <c r="C787" s="1" t="s">
        <v>1244</v>
      </c>
      <c r="D787" s="1">
        <v>9128123</v>
      </c>
      <c r="E787" s="1">
        <v>322565</v>
      </c>
      <c r="F787" s="1" t="s">
        <v>46</v>
      </c>
      <c r="G787" s="1" t="s">
        <v>897</v>
      </c>
      <c r="H787" s="2">
        <v>43923</v>
      </c>
      <c r="I787" s="2">
        <v>44456</v>
      </c>
      <c r="J787" s="2">
        <v>45426</v>
      </c>
      <c r="K787" s="3">
        <v>250000</v>
      </c>
      <c r="L787" s="3">
        <v>55000</v>
      </c>
      <c r="M787" s="3">
        <v>-195000</v>
      </c>
      <c r="N787" s="1">
        <v>0</v>
      </c>
      <c r="O787" s="1">
        <v>1</v>
      </c>
      <c r="P787" s="1">
        <v>1</v>
      </c>
      <c r="Q787" s="3"/>
      <c r="R787" s="3"/>
      <c r="S787" s="3">
        <v>127565</v>
      </c>
      <c r="T787" s="1">
        <v>2.6575340000000001</v>
      </c>
      <c r="U787" s="3"/>
      <c r="V787" s="3"/>
      <c r="X787" s="1">
        <v>127565</v>
      </c>
      <c r="Y787" s="22">
        <v>2.6575340000000001</v>
      </c>
      <c r="Z787" s="4">
        <f>Table1[[#This Row],[totalTimeKept]]*$AD$3</f>
        <v>39863.01</v>
      </c>
      <c r="AA787" s="4">
        <f>Y787-Z787</f>
        <v>-39860.352466000004</v>
      </c>
    </row>
    <row r="788" spans="1:27" x14ac:dyDescent="0.3">
      <c r="A788" s="1">
        <v>10803798</v>
      </c>
      <c r="B788" s="1" t="s">
        <v>1245</v>
      </c>
      <c r="C788" s="1" t="s">
        <v>316</v>
      </c>
      <c r="D788" s="1">
        <v>8603882</v>
      </c>
      <c r="E788" s="1">
        <v>0</v>
      </c>
      <c r="F788" s="1" t="s">
        <v>25</v>
      </c>
      <c r="G788" s="1" t="s">
        <v>46</v>
      </c>
      <c r="H788" s="2">
        <v>43961</v>
      </c>
      <c r="I788" s="2" t="s">
        <v>25</v>
      </c>
      <c r="J788" s="2">
        <v>44207</v>
      </c>
      <c r="K788" s="3"/>
      <c r="L788" s="3">
        <v>35000</v>
      </c>
      <c r="M788" s="3">
        <v>35000</v>
      </c>
      <c r="N788" s="1">
        <v>1</v>
      </c>
      <c r="O788" s="1">
        <v>0</v>
      </c>
      <c r="P788" s="1">
        <v>1</v>
      </c>
      <c r="Q788" s="3"/>
      <c r="R788" s="3"/>
      <c r="S788" s="3">
        <v>35000</v>
      </c>
      <c r="T788" s="1">
        <v>0.67397260000000003</v>
      </c>
      <c r="U788" s="3"/>
      <c r="V788" s="3"/>
      <c r="X788" s="1">
        <v>35000</v>
      </c>
      <c r="Y788" s="22">
        <v>0.67397260000000003</v>
      </c>
      <c r="Z788" s="4">
        <f>Table1[[#This Row],[totalTimeKept]]*$AD$3</f>
        <v>10109.589</v>
      </c>
      <c r="AA788" s="4">
        <f>Y788-Z788</f>
        <v>-10108.9150274</v>
      </c>
    </row>
    <row r="789" spans="1:27" x14ac:dyDescent="0.3">
      <c r="A789" s="1">
        <v>10803800</v>
      </c>
      <c r="B789" s="1" t="s">
        <v>1246</v>
      </c>
      <c r="C789" s="1" t="s">
        <v>874</v>
      </c>
      <c r="D789" s="1">
        <v>7758346</v>
      </c>
      <c r="E789" s="1">
        <v>0</v>
      </c>
      <c r="F789" s="1" t="s">
        <v>25</v>
      </c>
      <c r="G789" s="1" t="s">
        <v>46</v>
      </c>
      <c r="H789" s="2">
        <v>43967</v>
      </c>
      <c r="I789" s="2" t="s">
        <v>25</v>
      </c>
      <c r="J789" s="2">
        <v>44458</v>
      </c>
      <c r="K789" s="3"/>
      <c r="L789" s="3">
        <v>62000</v>
      </c>
      <c r="M789" s="3">
        <v>62000</v>
      </c>
      <c r="N789" s="1">
        <v>1</v>
      </c>
      <c r="O789" s="1">
        <v>0</v>
      </c>
      <c r="P789" s="1">
        <v>1</v>
      </c>
      <c r="Q789" s="3"/>
      <c r="R789" s="3"/>
      <c r="S789" s="3">
        <v>62000</v>
      </c>
      <c r="T789" s="1">
        <v>1.345205</v>
      </c>
      <c r="U789" s="3"/>
      <c r="V789" s="3"/>
      <c r="X789" s="1">
        <v>62000</v>
      </c>
      <c r="Y789" s="22">
        <v>1.345205</v>
      </c>
      <c r="Z789" s="4">
        <f>Table1[[#This Row],[totalTimeKept]]*$AD$3</f>
        <v>20178.075000000001</v>
      </c>
      <c r="AA789" s="4">
        <f>Y789-Z789</f>
        <v>-20176.729794999999</v>
      </c>
    </row>
    <row r="790" spans="1:27" x14ac:dyDescent="0.3">
      <c r="A790" s="1">
        <v>10803801</v>
      </c>
      <c r="B790" s="1" t="s">
        <v>1247</v>
      </c>
      <c r="C790" s="1" t="s">
        <v>234</v>
      </c>
      <c r="D790" s="1">
        <v>8037393</v>
      </c>
      <c r="E790" s="1">
        <v>0</v>
      </c>
      <c r="F790" s="1" t="s">
        <v>25</v>
      </c>
      <c r="G790" s="1" t="s">
        <v>846</v>
      </c>
      <c r="H790" s="2">
        <v>43971</v>
      </c>
      <c r="I790" s="2" t="s">
        <v>25</v>
      </c>
      <c r="J790" s="2">
        <v>45224</v>
      </c>
      <c r="K790" s="3"/>
      <c r="L790" s="3">
        <v>63843</v>
      </c>
      <c r="M790" s="3">
        <v>63843</v>
      </c>
      <c r="N790" s="1">
        <v>1</v>
      </c>
      <c r="O790" s="1">
        <v>0</v>
      </c>
      <c r="P790" s="1">
        <v>1</v>
      </c>
      <c r="Q790" s="3"/>
      <c r="R790" s="3"/>
      <c r="S790" s="3">
        <v>63843</v>
      </c>
      <c r="T790" s="1">
        <v>3.432877</v>
      </c>
      <c r="U790" s="3"/>
      <c r="V790" s="3"/>
      <c r="X790" s="1">
        <v>63843</v>
      </c>
      <c r="Y790" s="22">
        <v>3.432877</v>
      </c>
      <c r="Z790" s="4">
        <f>Table1[[#This Row],[totalTimeKept]]*$AD$3</f>
        <v>51493.154999999999</v>
      </c>
      <c r="AA790" s="4">
        <f>Y790-Z790</f>
        <v>-51489.722123</v>
      </c>
    </row>
    <row r="791" spans="1:27" x14ac:dyDescent="0.3">
      <c r="A791" s="1">
        <v>10803802</v>
      </c>
      <c r="B791" s="1" t="s">
        <v>1248</v>
      </c>
      <c r="C791" s="1" t="s">
        <v>1249</v>
      </c>
      <c r="D791" s="1">
        <v>8875792</v>
      </c>
      <c r="E791" s="1">
        <v>0</v>
      </c>
      <c r="F791" s="1" t="s">
        <v>25</v>
      </c>
      <c r="G791" s="1" t="s">
        <v>46</v>
      </c>
      <c r="H791" s="2">
        <v>43978</v>
      </c>
      <c r="I791" s="2" t="s">
        <v>25</v>
      </c>
      <c r="J791" s="2">
        <v>44458</v>
      </c>
      <c r="K791" s="3"/>
      <c r="L791" s="3">
        <v>425000</v>
      </c>
      <c r="M791" s="3">
        <v>425000</v>
      </c>
      <c r="N791" s="1">
        <v>1</v>
      </c>
      <c r="O791" s="1">
        <v>0</v>
      </c>
      <c r="P791" s="1">
        <v>1</v>
      </c>
      <c r="Q791" s="3"/>
      <c r="R791" s="3"/>
      <c r="S791" s="3">
        <v>425000</v>
      </c>
      <c r="T791" s="1">
        <v>1.3150679999999999</v>
      </c>
      <c r="U791" s="3"/>
      <c r="V791" s="3"/>
      <c r="X791" s="1">
        <v>425000</v>
      </c>
      <c r="Y791" s="22">
        <v>1.3150679999999999</v>
      </c>
      <c r="Z791" s="4">
        <f>Table1[[#This Row],[totalTimeKept]]*$AD$3</f>
        <v>19726.019999999997</v>
      </c>
      <c r="AA791" s="4">
        <f>Y791-Z791</f>
        <v>-19724.704931999997</v>
      </c>
    </row>
    <row r="792" spans="1:27" x14ac:dyDescent="0.3">
      <c r="A792" s="1">
        <v>10805135</v>
      </c>
      <c r="B792" s="1" t="s">
        <v>1250</v>
      </c>
      <c r="C792" s="1" t="s">
        <v>1251</v>
      </c>
      <c r="D792" s="1">
        <v>8588009</v>
      </c>
      <c r="E792" s="1">
        <v>6688</v>
      </c>
      <c r="F792" s="1" t="s">
        <v>46</v>
      </c>
      <c r="G792" s="1" t="s">
        <v>846</v>
      </c>
      <c r="H792" s="2">
        <v>43952</v>
      </c>
      <c r="I792" s="2">
        <v>44452</v>
      </c>
      <c r="J792" s="2">
        <v>45117</v>
      </c>
      <c r="K792" s="3">
        <v>325000</v>
      </c>
      <c r="L792" s="3">
        <v>45000</v>
      </c>
      <c r="M792" s="3">
        <v>-280000</v>
      </c>
      <c r="N792" s="1">
        <v>0</v>
      </c>
      <c r="O792" s="1">
        <v>1</v>
      </c>
      <c r="P792" s="1">
        <v>1</v>
      </c>
      <c r="Q792" s="3"/>
      <c r="R792" s="3"/>
      <c r="S792" s="3">
        <v>-273312</v>
      </c>
      <c r="T792" s="1">
        <v>1.8219179999999999</v>
      </c>
      <c r="U792" s="3"/>
      <c r="V792" s="3"/>
      <c r="X792" s="1">
        <v>-273312</v>
      </c>
      <c r="Y792" s="22">
        <v>1.8219179999999999</v>
      </c>
      <c r="Z792" s="4">
        <f>Table1[[#This Row],[totalTimeKept]]*$AD$3</f>
        <v>27328.77</v>
      </c>
      <c r="AA792" s="4">
        <f>Y792-Z792</f>
        <v>-27326.948081999999</v>
      </c>
    </row>
    <row r="793" spans="1:27" x14ac:dyDescent="0.3">
      <c r="A793" s="1">
        <v>10806152</v>
      </c>
      <c r="B793" s="1" t="s">
        <v>1252</v>
      </c>
      <c r="C793" s="1" t="s">
        <v>572</v>
      </c>
      <c r="D793" s="1">
        <v>9493432</v>
      </c>
      <c r="E793" s="1">
        <v>0</v>
      </c>
      <c r="F793" s="1" t="s">
        <v>25</v>
      </c>
      <c r="G793" s="1" t="s">
        <v>46</v>
      </c>
      <c r="H793" s="2">
        <v>43888</v>
      </c>
      <c r="I793" s="2" t="s">
        <v>25</v>
      </c>
      <c r="J793" s="2">
        <v>44483</v>
      </c>
      <c r="K793" s="3"/>
      <c r="L793" s="3">
        <v>35862</v>
      </c>
      <c r="M793" s="3">
        <v>35862</v>
      </c>
      <c r="N793" s="1">
        <v>1</v>
      </c>
      <c r="O793" s="1">
        <v>0</v>
      </c>
      <c r="P793" s="1">
        <v>1</v>
      </c>
      <c r="Q793" s="3"/>
      <c r="R793" s="3"/>
      <c r="S793" s="3">
        <v>35862</v>
      </c>
      <c r="T793" s="1">
        <v>1.6301369999999999</v>
      </c>
      <c r="U793" s="3"/>
      <c r="V793" s="3"/>
      <c r="X793" s="1">
        <v>35862</v>
      </c>
      <c r="Y793" s="22">
        <v>1.6301369999999999</v>
      </c>
      <c r="Z793" s="4">
        <f>Table1[[#This Row],[totalTimeKept]]*$AD$3</f>
        <v>24452.055</v>
      </c>
      <c r="AA793" s="4">
        <f>Y793-Z793</f>
        <v>-24450.424863</v>
      </c>
    </row>
    <row r="794" spans="1:27" x14ac:dyDescent="0.3">
      <c r="A794" s="1">
        <v>10806782</v>
      </c>
      <c r="B794" s="1" t="s">
        <v>1253</v>
      </c>
      <c r="C794" s="1" t="s">
        <v>1254</v>
      </c>
      <c r="D794" s="1">
        <v>6822617</v>
      </c>
      <c r="E794" s="1">
        <v>36400</v>
      </c>
      <c r="F794" s="1" t="s">
        <v>46</v>
      </c>
      <c r="G794" s="1" t="s">
        <v>846</v>
      </c>
      <c r="H794" s="2">
        <v>43920</v>
      </c>
      <c r="I794" s="2">
        <v>44457</v>
      </c>
      <c r="J794" s="2">
        <v>45247</v>
      </c>
      <c r="K794" s="3">
        <v>135000</v>
      </c>
      <c r="L794" s="3">
        <v>90000</v>
      </c>
      <c r="M794" s="3">
        <v>-45000</v>
      </c>
      <c r="N794" s="1">
        <v>0</v>
      </c>
      <c r="O794" s="1">
        <v>1</v>
      </c>
      <c r="P794" s="1">
        <v>1</v>
      </c>
      <c r="Q794" s="3"/>
      <c r="R794" s="3"/>
      <c r="S794" s="3">
        <v>-8600</v>
      </c>
      <c r="T794" s="1">
        <v>2.1643840000000001</v>
      </c>
      <c r="U794" s="3"/>
      <c r="V794" s="3"/>
      <c r="X794" s="1">
        <v>-8600</v>
      </c>
      <c r="Y794" s="22">
        <v>2.1643840000000001</v>
      </c>
      <c r="Z794" s="4">
        <f>Table1[[#This Row],[totalTimeKept]]*$AD$3</f>
        <v>32465.760000000002</v>
      </c>
      <c r="AA794" s="4">
        <f>Y794-Z794</f>
        <v>-32463.595616000002</v>
      </c>
    </row>
    <row r="795" spans="1:27" x14ac:dyDescent="0.3">
      <c r="A795" s="1">
        <v>10807183</v>
      </c>
      <c r="B795" s="1" t="s">
        <v>1255</v>
      </c>
      <c r="C795" s="1" t="s">
        <v>1019</v>
      </c>
      <c r="D795" s="1">
        <v>8587309</v>
      </c>
      <c r="E795" s="1">
        <v>0</v>
      </c>
      <c r="F795" s="1" t="s">
        <v>25</v>
      </c>
      <c r="G795" s="1" t="s">
        <v>46</v>
      </c>
      <c r="H795" s="2">
        <v>43938</v>
      </c>
      <c r="I795" s="2" t="s">
        <v>25</v>
      </c>
      <c r="J795" s="2">
        <v>44494</v>
      </c>
      <c r="K795" s="3"/>
      <c r="L795" s="3">
        <v>6000</v>
      </c>
      <c r="M795" s="3">
        <v>6000</v>
      </c>
      <c r="N795" s="1">
        <v>1</v>
      </c>
      <c r="O795" s="1">
        <v>0</v>
      </c>
      <c r="P795" s="1">
        <v>1</v>
      </c>
      <c r="Q795" s="3"/>
      <c r="R795" s="3"/>
      <c r="S795" s="3">
        <v>6000</v>
      </c>
      <c r="T795" s="1">
        <v>1.523288</v>
      </c>
      <c r="U795" s="3"/>
      <c r="V795" s="3"/>
      <c r="X795" s="1">
        <v>6000</v>
      </c>
      <c r="Y795" s="22">
        <v>1.523288</v>
      </c>
      <c r="Z795" s="4">
        <f>Table1[[#This Row],[totalTimeKept]]*$AD$3</f>
        <v>22849.32</v>
      </c>
      <c r="AA795" s="4">
        <f>Y795-Z795</f>
        <v>-22847.796711999999</v>
      </c>
    </row>
    <row r="796" spans="1:27" x14ac:dyDescent="0.3">
      <c r="A796" s="1">
        <v>10808449</v>
      </c>
      <c r="B796" s="1" t="s">
        <v>1256</v>
      </c>
      <c r="C796" s="1" t="s">
        <v>1257</v>
      </c>
      <c r="D796" s="1">
        <v>9886652</v>
      </c>
      <c r="E796" s="1">
        <v>30200</v>
      </c>
      <c r="F796" s="1" t="s">
        <v>46</v>
      </c>
      <c r="G796" s="1" t="s">
        <v>846</v>
      </c>
      <c r="H796" s="2">
        <v>43877</v>
      </c>
      <c r="I796" s="2">
        <v>44455</v>
      </c>
      <c r="J796" s="2">
        <v>45046</v>
      </c>
      <c r="K796" s="3">
        <v>500000</v>
      </c>
      <c r="L796" s="3">
        <v>40000</v>
      </c>
      <c r="M796" s="3">
        <v>-460000</v>
      </c>
      <c r="N796" s="1">
        <v>0</v>
      </c>
      <c r="O796" s="1">
        <v>1</v>
      </c>
      <c r="P796" s="1">
        <v>1</v>
      </c>
      <c r="Q796" s="3"/>
      <c r="R796" s="3"/>
      <c r="S796" s="3">
        <v>-429800</v>
      </c>
      <c r="T796" s="1">
        <v>1.619178</v>
      </c>
      <c r="U796" s="3"/>
      <c r="V796" s="3"/>
      <c r="X796" s="1">
        <v>-429800</v>
      </c>
      <c r="Y796" s="22">
        <v>1.619178</v>
      </c>
      <c r="Z796" s="4">
        <f>Table1[[#This Row],[totalTimeKept]]*$AD$3</f>
        <v>24287.670000000002</v>
      </c>
      <c r="AA796" s="4">
        <f>Y796-Z796</f>
        <v>-24286.050822000001</v>
      </c>
    </row>
    <row r="797" spans="1:27" x14ac:dyDescent="0.3">
      <c r="A797" s="1">
        <v>10813424</v>
      </c>
      <c r="B797" s="1" t="s">
        <v>1258</v>
      </c>
      <c r="C797" s="1" t="s">
        <v>1259</v>
      </c>
      <c r="D797" s="1">
        <v>8282513</v>
      </c>
      <c r="E797" s="1">
        <v>0</v>
      </c>
      <c r="F797" s="1" t="s">
        <v>139</v>
      </c>
      <c r="G797" s="1" t="s">
        <v>24</v>
      </c>
      <c r="H797" s="2">
        <v>43893</v>
      </c>
      <c r="I797" s="2">
        <v>45237</v>
      </c>
      <c r="J797" s="2">
        <v>45601</v>
      </c>
      <c r="K797" s="3">
        <v>410000</v>
      </c>
      <c r="L797" s="3">
        <v>750000</v>
      </c>
      <c r="M797" s="3">
        <v>340000</v>
      </c>
      <c r="N797" s="1">
        <v>0</v>
      </c>
      <c r="O797" s="1">
        <v>1</v>
      </c>
      <c r="P797" s="1">
        <v>1</v>
      </c>
      <c r="Q797" s="3"/>
      <c r="R797" s="3"/>
      <c r="S797" s="3">
        <v>340000</v>
      </c>
      <c r="T797" s="1">
        <v>0.99726029999999999</v>
      </c>
      <c r="U797" s="3"/>
      <c r="V797" s="3"/>
      <c r="X797" s="1">
        <v>340000</v>
      </c>
      <c r="Y797" s="22">
        <v>0.99726029999999999</v>
      </c>
      <c r="Z797" s="4">
        <f>Table1[[#This Row],[totalTimeKept]]*$AD$3</f>
        <v>14958.904500000001</v>
      </c>
      <c r="AA797" s="4">
        <f>Y797-Z797</f>
        <v>-14957.9072397</v>
      </c>
    </row>
    <row r="798" spans="1:27" x14ac:dyDescent="0.3">
      <c r="A798" s="1">
        <v>10821142</v>
      </c>
      <c r="B798" s="1" t="s">
        <v>1260</v>
      </c>
      <c r="C798" s="1" t="s">
        <v>161</v>
      </c>
      <c r="D798" s="1">
        <v>7443895</v>
      </c>
      <c r="E798" s="1">
        <v>0</v>
      </c>
      <c r="F798" s="1" t="s">
        <v>25</v>
      </c>
      <c r="G798" s="1" t="s">
        <v>292</v>
      </c>
      <c r="H798" s="2">
        <v>43952</v>
      </c>
      <c r="I798" s="2" t="s">
        <v>25</v>
      </c>
      <c r="J798" s="2">
        <v>44704</v>
      </c>
      <c r="K798" s="3"/>
      <c r="L798" s="3">
        <v>20000</v>
      </c>
      <c r="M798" s="3">
        <v>20000</v>
      </c>
      <c r="N798" s="1">
        <v>1</v>
      </c>
      <c r="O798" s="1">
        <v>0</v>
      </c>
      <c r="P798" s="1">
        <v>1</v>
      </c>
      <c r="Q798" s="3"/>
      <c r="R798" s="3"/>
      <c r="S798" s="3">
        <v>20000</v>
      </c>
      <c r="T798" s="1">
        <v>2.0602740000000002</v>
      </c>
      <c r="U798" s="3"/>
      <c r="V798" s="3"/>
      <c r="X798" s="1">
        <v>20000</v>
      </c>
      <c r="Y798" s="22">
        <v>2.0602740000000002</v>
      </c>
      <c r="Z798" s="4">
        <f>Table1[[#This Row],[totalTimeKept]]*$AD$3</f>
        <v>30904.110000000004</v>
      </c>
      <c r="AA798" s="4">
        <f>Y798-Z798</f>
        <v>-30902.049726000005</v>
      </c>
    </row>
    <row r="799" spans="1:27" x14ac:dyDescent="0.3">
      <c r="A799" s="1">
        <v>10845422</v>
      </c>
      <c r="B799" s="1" t="s">
        <v>1261</v>
      </c>
      <c r="C799" s="1" t="s">
        <v>144</v>
      </c>
      <c r="D799" s="1">
        <v>7179912</v>
      </c>
      <c r="E799" s="1">
        <v>0</v>
      </c>
      <c r="F799" s="1" t="s">
        <v>25</v>
      </c>
      <c r="G799" s="1" t="s">
        <v>46</v>
      </c>
      <c r="H799" s="2">
        <v>43966</v>
      </c>
      <c r="I799" s="2" t="s">
        <v>25</v>
      </c>
      <c r="J799" s="2">
        <v>44452</v>
      </c>
      <c r="K799" s="3"/>
      <c r="L799" s="3">
        <v>400000</v>
      </c>
      <c r="M799" s="3">
        <v>400000</v>
      </c>
      <c r="N799" s="1">
        <v>1</v>
      </c>
      <c r="O799" s="1">
        <v>0</v>
      </c>
      <c r="P799" s="1">
        <v>1</v>
      </c>
      <c r="Q799" s="3"/>
      <c r="R799" s="3"/>
      <c r="S799" s="3">
        <v>400000</v>
      </c>
      <c r="T799" s="1">
        <v>1.331507</v>
      </c>
      <c r="U799" s="3"/>
      <c r="V799" s="3"/>
      <c r="X799" s="1">
        <v>400000</v>
      </c>
      <c r="Y799" s="22">
        <v>1.331507</v>
      </c>
      <c r="Z799" s="4">
        <f>Table1[[#This Row],[totalTimeKept]]*$AD$3</f>
        <v>19972.605</v>
      </c>
      <c r="AA799" s="4">
        <f>Y799-Z799</f>
        <v>-19971.273493000001</v>
      </c>
    </row>
    <row r="800" spans="1:27" x14ac:dyDescent="0.3">
      <c r="A800" s="1">
        <v>10934354</v>
      </c>
      <c r="B800" s="1" t="s">
        <v>1262</v>
      </c>
      <c r="C800" s="1" t="s">
        <v>1263</v>
      </c>
      <c r="D800" s="1">
        <v>9266632</v>
      </c>
      <c r="E800" s="1">
        <v>55150</v>
      </c>
      <c r="F800" s="1" t="s">
        <v>46</v>
      </c>
      <c r="G800" s="1" t="s">
        <v>25</v>
      </c>
      <c r="H800" s="2">
        <v>44229</v>
      </c>
      <c r="I800" s="2">
        <v>44818</v>
      </c>
      <c r="J800" s="2" t="s">
        <v>25</v>
      </c>
      <c r="K800" s="3">
        <v>1050000</v>
      </c>
      <c r="L800" s="3"/>
      <c r="M800" s="3">
        <v>-1050000</v>
      </c>
      <c r="N800" s="1">
        <v>0</v>
      </c>
      <c r="O800" s="1">
        <v>1</v>
      </c>
      <c r="P800" s="1">
        <v>0</v>
      </c>
      <c r="Q800" s="3"/>
      <c r="R800" s="3"/>
      <c r="S800" s="3">
        <v>-994850</v>
      </c>
      <c r="T800" s="1">
        <v>2.4301370000000002</v>
      </c>
      <c r="U800" s="3"/>
      <c r="V800" s="3"/>
      <c r="X800" s="1">
        <v>-994850</v>
      </c>
      <c r="Y800" s="22">
        <v>2.4301370000000002</v>
      </c>
      <c r="Z800" s="4">
        <f>Table1[[#This Row],[totalTimeKept]]*$AD$3</f>
        <v>36452.055</v>
      </c>
      <c r="AA800" s="4">
        <f>Y800-Z800</f>
        <v>-36449.624862999997</v>
      </c>
    </row>
    <row r="801" spans="1:27" x14ac:dyDescent="0.3">
      <c r="A801" s="1">
        <v>10938221</v>
      </c>
      <c r="B801" s="1" t="s">
        <v>1264</v>
      </c>
      <c r="C801" s="1" t="s">
        <v>1265</v>
      </c>
      <c r="D801" s="1">
        <v>8583468</v>
      </c>
      <c r="E801" s="1">
        <v>159430</v>
      </c>
      <c r="F801" s="1" t="s">
        <v>46</v>
      </c>
      <c r="G801" s="1" t="s">
        <v>25</v>
      </c>
      <c r="H801" s="2">
        <v>44234</v>
      </c>
      <c r="I801" s="2">
        <v>44818</v>
      </c>
      <c r="J801" s="1" t="s">
        <v>25</v>
      </c>
      <c r="K801" s="3">
        <v>1050000</v>
      </c>
      <c r="L801" s="3"/>
      <c r="M801" s="3">
        <v>-1050000</v>
      </c>
      <c r="N801" s="1">
        <v>0</v>
      </c>
      <c r="O801" s="1">
        <v>1</v>
      </c>
      <c r="P801" s="1">
        <v>0</v>
      </c>
      <c r="Q801" s="3"/>
      <c r="R801" s="3"/>
      <c r="S801" s="3">
        <v>-890570</v>
      </c>
      <c r="T801" s="1">
        <v>2.4301370000000002</v>
      </c>
      <c r="U801" s="3"/>
      <c r="V801" s="3"/>
      <c r="X801" s="1">
        <v>-890570</v>
      </c>
      <c r="Y801" s="22">
        <v>2.4301370000000002</v>
      </c>
      <c r="Z801" s="4">
        <f>Table1[[#This Row],[totalTimeKept]]*$AD$3</f>
        <v>36452.055</v>
      </c>
      <c r="AA801" s="4">
        <f>Y801-Z801</f>
        <v>-36449.624862999997</v>
      </c>
    </row>
    <row r="802" spans="1:27" x14ac:dyDescent="0.3">
      <c r="A802" s="1">
        <v>10941118</v>
      </c>
      <c r="B802" s="1" t="s">
        <v>1266</v>
      </c>
      <c r="C802" s="1" t="s">
        <v>1267</v>
      </c>
      <c r="D802" s="1">
        <v>9535551</v>
      </c>
      <c r="E802" s="1">
        <v>0</v>
      </c>
      <c r="F802" s="1" t="s">
        <v>139</v>
      </c>
      <c r="G802" s="1" t="s">
        <v>25</v>
      </c>
      <c r="H802" s="2">
        <v>44243</v>
      </c>
      <c r="I802" s="2">
        <v>45601</v>
      </c>
      <c r="J802" s="2" t="s">
        <v>25</v>
      </c>
      <c r="K802" s="3">
        <v>150000</v>
      </c>
      <c r="L802" s="3"/>
      <c r="M802" s="3">
        <v>-150000</v>
      </c>
      <c r="N802" s="1">
        <v>0</v>
      </c>
      <c r="O802" s="1">
        <v>1</v>
      </c>
      <c r="P802" s="1">
        <v>0</v>
      </c>
      <c r="Q802" s="3"/>
      <c r="R802" s="3"/>
      <c r="S802" s="3">
        <v>-150000</v>
      </c>
      <c r="T802" s="1">
        <v>0.2849315</v>
      </c>
      <c r="U802" s="3"/>
      <c r="V802" s="3"/>
      <c r="X802" s="1">
        <v>-150000</v>
      </c>
      <c r="Y802" s="22">
        <v>0.2849315</v>
      </c>
      <c r="Z802" s="4">
        <f>Table1[[#This Row],[totalTimeKept]]*$AD$3</f>
        <v>4273.9724999999999</v>
      </c>
      <c r="AA802" s="4">
        <f>Y802-Z802</f>
        <v>-4273.6875684999995</v>
      </c>
    </row>
    <row r="803" spans="1:27" x14ac:dyDescent="0.3">
      <c r="A803" s="1">
        <v>10943284</v>
      </c>
      <c r="B803" s="1" t="s">
        <v>1268</v>
      </c>
      <c r="C803" s="1" t="s">
        <v>1269</v>
      </c>
      <c r="D803" s="1">
        <v>9662884</v>
      </c>
      <c r="E803" s="1">
        <v>408300</v>
      </c>
      <c r="F803" s="1" t="s">
        <v>46</v>
      </c>
      <c r="G803" s="1" t="s">
        <v>25</v>
      </c>
      <c r="H803" s="2">
        <v>44250</v>
      </c>
      <c r="I803" s="2">
        <v>44819</v>
      </c>
      <c r="J803" s="1" t="s">
        <v>25</v>
      </c>
      <c r="K803" s="3">
        <v>700000</v>
      </c>
      <c r="L803" s="3"/>
      <c r="M803" s="3">
        <v>-700000</v>
      </c>
      <c r="N803" s="1">
        <v>0</v>
      </c>
      <c r="O803" s="1">
        <v>1</v>
      </c>
      <c r="P803" s="1">
        <v>0</v>
      </c>
      <c r="Q803" s="3"/>
      <c r="R803" s="3"/>
      <c r="S803" s="3">
        <v>-291700</v>
      </c>
      <c r="T803" s="1">
        <v>2.427397</v>
      </c>
      <c r="U803" s="3"/>
      <c r="V803" s="3"/>
      <c r="X803" s="1">
        <v>-291700</v>
      </c>
      <c r="Y803" s="22">
        <v>2.427397</v>
      </c>
      <c r="Z803" s="4">
        <f>Table1[[#This Row],[totalTimeKept]]*$AD$3</f>
        <v>36410.955000000002</v>
      </c>
      <c r="AA803" s="4">
        <f>Y803-Z803</f>
        <v>-36408.527603000002</v>
      </c>
    </row>
    <row r="804" spans="1:27" x14ac:dyDescent="0.3">
      <c r="A804" s="1">
        <v>10945849</v>
      </c>
      <c r="B804" s="1" t="s">
        <v>1270</v>
      </c>
      <c r="C804" s="1" t="s">
        <v>1271</v>
      </c>
      <c r="D804" s="1">
        <v>9100283</v>
      </c>
      <c r="E804" s="1">
        <v>10306</v>
      </c>
      <c r="F804" s="1" t="s">
        <v>46</v>
      </c>
      <c r="G804" s="1" t="s">
        <v>846</v>
      </c>
      <c r="H804" s="2">
        <v>44245</v>
      </c>
      <c r="I804" s="2">
        <v>44816</v>
      </c>
      <c r="J804" s="2">
        <v>45426</v>
      </c>
      <c r="K804" s="3">
        <v>610000</v>
      </c>
      <c r="L804" s="3">
        <v>65000</v>
      </c>
      <c r="M804" s="3">
        <v>-545000</v>
      </c>
      <c r="N804" s="1">
        <v>0</v>
      </c>
      <c r="O804" s="1">
        <v>1</v>
      </c>
      <c r="P804" s="1">
        <v>1</v>
      </c>
      <c r="Q804" s="3"/>
      <c r="R804" s="3"/>
      <c r="S804" s="3">
        <v>-534694</v>
      </c>
      <c r="T804" s="1">
        <v>1.671233</v>
      </c>
      <c r="U804" s="3"/>
      <c r="V804" s="3"/>
      <c r="X804" s="1">
        <v>-534694</v>
      </c>
      <c r="Y804" s="22">
        <v>1.671233</v>
      </c>
      <c r="Z804" s="4">
        <f>Table1[[#This Row],[totalTimeKept]]*$AD$3</f>
        <v>25068.494999999999</v>
      </c>
      <c r="AA804" s="4">
        <f>Y804-Z804</f>
        <v>-25066.823766999998</v>
      </c>
    </row>
    <row r="805" spans="1:27" x14ac:dyDescent="0.3">
      <c r="A805" s="1">
        <v>10946083</v>
      </c>
      <c r="B805" s="1" t="s">
        <v>1272</v>
      </c>
      <c r="C805" s="1" t="s">
        <v>191</v>
      </c>
      <c r="D805" s="1">
        <v>7704649</v>
      </c>
      <c r="E805" s="1">
        <v>0</v>
      </c>
      <c r="F805" s="1" t="s">
        <v>25</v>
      </c>
      <c r="G805" s="1" t="s">
        <v>46</v>
      </c>
      <c r="H805" s="2">
        <v>44224</v>
      </c>
      <c r="I805" s="2" t="s">
        <v>25</v>
      </c>
      <c r="J805" s="2">
        <v>44817</v>
      </c>
      <c r="K805" s="3"/>
      <c r="L805" s="3">
        <v>300000</v>
      </c>
      <c r="M805" s="3">
        <v>300000</v>
      </c>
      <c r="N805" s="1">
        <v>1</v>
      </c>
      <c r="O805" s="1">
        <v>0</v>
      </c>
      <c r="P805" s="1">
        <v>1</v>
      </c>
      <c r="Q805" s="3"/>
      <c r="R805" s="3"/>
      <c r="S805" s="3">
        <v>300000</v>
      </c>
      <c r="T805" s="1">
        <v>1.6246579999999999</v>
      </c>
      <c r="U805" s="3"/>
      <c r="V805" s="3"/>
      <c r="X805" s="1">
        <v>300000</v>
      </c>
      <c r="Y805" s="22">
        <v>1.6246579999999999</v>
      </c>
      <c r="Z805" s="4">
        <f>Table1[[#This Row],[totalTimeKept]]*$AD$3</f>
        <v>24369.87</v>
      </c>
      <c r="AA805" s="4">
        <f>Y805-Z805</f>
        <v>-24368.245341999998</v>
      </c>
    </row>
    <row r="806" spans="1:27" x14ac:dyDescent="0.3">
      <c r="A806" s="1">
        <v>10949203</v>
      </c>
      <c r="B806" s="1" t="s">
        <v>1273</v>
      </c>
      <c r="C806" s="1" t="s">
        <v>1274</v>
      </c>
      <c r="D806" s="1">
        <v>9890290</v>
      </c>
      <c r="E806" s="1">
        <v>0</v>
      </c>
      <c r="F806" s="1" t="s">
        <v>25</v>
      </c>
      <c r="G806" s="1" t="s">
        <v>46</v>
      </c>
      <c r="H806" s="2">
        <v>44224</v>
      </c>
      <c r="I806" s="2" t="s">
        <v>25</v>
      </c>
      <c r="J806" s="2">
        <v>44824</v>
      </c>
      <c r="K806" s="3"/>
      <c r="L806" s="3">
        <v>30000</v>
      </c>
      <c r="M806" s="3">
        <v>30000</v>
      </c>
      <c r="N806" s="1">
        <v>1</v>
      </c>
      <c r="O806" s="1">
        <v>0</v>
      </c>
      <c r="P806" s="1">
        <v>1</v>
      </c>
      <c r="Q806" s="3"/>
      <c r="R806" s="3"/>
      <c r="S806" s="3">
        <v>30000</v>
      </c>
      <c r="T806" s="1">
        <v>1.6438360000000001</v>
      </c>
      <c r="U806" s="3"/>
      <c r="V806" s="3"/>
      <c r="X806" s="1">
        <v>30000</v>
      </c>
      <c r="Y806" s="22">
        <v>1.6438360000000001</v>
      </c>
      <c r="Z806" s="4">
        <f>Table1[[#This Row],[totalTimeKept]]*$AD$3</f>
        <v>24657.54</v>
      </c>
      <c r="AA806" s="4">
        <f>Y806-Z806</f>
        <v>-24655.896164000002</v>
      </c>
    </row>
    <row r="807" spans="1:27" x14ac:dyDescent="0.3">
      <c r="A807" s="1">
        <v>10949206</v>
      </c>
      <c r="B807" s="1" t="s">
        <v>1275</v>
      </c>
      <c r="C807" s="1" t="s">
        <v>424</v>
      </c>
      <c r="D807" s="1">
        <v>9103805</v>
      </c>
      <c r="E807" s="1">
        <v>0</v>
      </c>
      <c r="F807" s="1" t="s">
        <v>25</v>
      </c>
      <c r="G807" s="1" t="s">
        <v>46</v>
      </c>
      <c r="H807" s="2">
        <v>44231</v>
      </c>
      <c r="I807" s="2" t="s">
        <v>25</v>
      </c>
      <c r="J807" s="2">
        <v>44781</v>
      </c>
      <c r="K807" s="3"/>
      <c r="L807" s="3">
        <v>675000</v>
      </c>
      <c r="M807" s="3">
        <v>675000</v>
      </c>
      <c r="N807" s="1">
        <v>1</v>
      </c>
      <c r="O807" s="1">
        <v>0</v>
      </c>
      <c r="P807" s="1">
        <v>1</v>
      </c>
      <c r="Q807" s="3"/>
      <c r="R807" s="3"/>
      <c r="S807" s="3">
        <v>675000</v>
      </c>
      <c r="T807" s="1">
        <v>1.5068490000000001</v>
      </c>
      <c r="U807" s="3"/>
      <c r="V807" s="3"/>
      <c r="X807" s="1">
        <v>675000</v>
      </c>
      <c r="Y807" s="22">
        <v>1.5068490000000001</v>
      </c>
      <c r="Z807" s="4">
        <f>Table1[[#This Row],[totalTimeKept]]*$AD$3</f>
        <v>22602.735000000001</v>
      </c>
      <c r="AA807" s="4">
        <f>Y807-Z807</f>
        <v>-22601.228150999999</v>
      </c>
    </row>
    <row r="808" spans="1:27" x14ac:dyDescent="0.3">
      <c r="A808" s="1">
        <v>10949208</v>
      </c>
      <c r="B808" s="1" t="s">
        <v>1276</v>
      </c>
      <c r="C808" s="1" t="s">
        <v>1141</v>
      </c>
      <c r="D808" s="1">
        <v>8077656</v>
      </c>
      <c r="E808" s="1">
        <v>0</v>
      </c>
      <c r="F808" s="1" t="s">
        <v>25</v>
      </c>
      <c r="G808" s="1" t="s">
        <v>46</v>
      </c>
      <c r="H808" s="2">
        <v>44239</v>
      </c>
      <c r="I808" s="2" t="s">
        <v>25</v>
      </c>
      <c r="J808" s="2">
        <v>44826</v>
      </c>
      <c r="K808" s="3"/>
      <c r="L808" s="3">
        <v>35000</v>
      </c>
      <c r="M808" s="3">
        <v>35000</v>
      </c>
      <c r="N808" s="1">
        <v>1</v>
      </c>
      <c r="O808" s="1">
        <v>0</v>
      </c>
      <c r="P808" s="1">
        <v>1</v>
      </c>
      <c r="Q808" s="3"/>
      <c r="R808" s="3"/>
      <c r="S808" s="3">
        <v>35000</v>
      </c>
      <c r="T808" s="1">
        <v>1.6082190000000001</v>
      </c>
      <c r="U808" s="3"/>
      <c r="V808" s="3"/>
      <c r="X808" s="1">
        <v>35000</v>
      </c>
      <c r="Y808" s="22">
        <v>1.6082190000000001</v>
      </c>
      <c r="Z808" s="4">
        <f>Table1[[#This Row],[totalTimeKept]]*$AD$3</f>
        <v>24123.285</v>
      </c>
      <c r="AA808" s="4">
        <f>Y808-Z808</f>
        <v>-24121.676780999998</v>
      </c>
    </row>
    <row r="809" spans="1:27" x14ac:dyDescent="0.3">
      <c r="A809" s="1">
        <v>10949209</v>
      </c>
      <c r="B809" s="1" t="s">
        <v>1277</v>
      </c>
      <c r="C809" s="1" t="s">
        <v>680</v>
      </c>
      <c r="D809" s="1">
        <v>9728544</v>
      </c>
      <c r="E809" s="1">
        <v>0</v>
      </c>
      <c r="F809" s="1" t="s">
        <v>25</v>
      </c>
      <c r="G809" s="1" t="s">
        <v>46</v>
      </c>
      <c r="H809" s="2">
        <v>44239</v>
      </c>
      <c r="I809" s="2" t="s">
        <v>25</v>
      </c>
      <c r="J809" s="2">
        <v>44572</v>
      </c>
      <c r="K809" s="3"/>
      <c r="L809" s="3">
        <v>18000</v>
      </c>
      <c r="M809" s="3">
        <v>18000</v>
      </c>
      <c r="N809" s="1">
        <v>1</v>
      </c>
      <c r="O809" s="1">
        <v>0</v>
      </c>
      <c r="P809" s="1">
        <v>1</v>
      </c>
      <c r="Q809" s="3"/>
      <c r="R809" s="3"/>
      <c r="S809" s="3">
        <v>18000</v>
      </c>
      <c r="T809" s="1">
        <v>0.91232880000000005</v>
      </c>
      <c r="U809" s="3"/>
      <c r="V809" s="3"/>
      <c r="X809" s="1">
        <v>18000</v>
      </c>
      <c r="Y809" s="22">
        <v>0.91232880000000005</v>
      </c>
      <c r="Z809" s="4">
        <f>Table1[[#This Row],[totalTimeKept]]*$AD$3</f>
        <v>13684.932000000001</v>
      </c>
      <c r="AA809" s="4">
        <f>Y809-Z809</f>
        <v>-13684.019671200002</v>
      </c>
    </row>
    <row r="810" spans="1:27" x14ac:dyDescent="0.3">
      <c r="A810" s="1">
        <v>10949210</v>
      </c>
      <c r="B810" s="1" t="s">
        <v>1278</v>
      </c>
      <c r="C810" s="1" t="s">
        <v>479</v>
      </c>
      <c r="D810" s="1">
        <v>7728446</v>
      </c>
      <c r="E810" s="1">
        <v>0</v>
      </c>
      <c r="F810" s="1" t="s">
        <v>25</v>
      </c>
      <c r="G810" s="1" t="s">
        <v>46</v>
      </c>
      <c r="H810" s="2">
        <v>44239</v>
      </c>
      <c r="I810" s="2" t="s">
        <v>25</v>
      </c>
      <c r="J810" s="2">
        <v>44782</v>
      </c>
      <c r="K810" s="3"/>
      <c r="L810" s="3">
        <v>320000</v>
      </c>
      <c r="M810" s="3">
        <v>320000</v>
      </c>
      <c r="N810" s="1">
        <v>1</v>
      </c>
      <c r="O810" s="1">
        <v>0</v>
      </c>
      <c r="P810" s="1">
        <v>1</v>
      </c>
      <c r="Q810" s="3"/>
      <c r="R810" s="3"/>
      <c r="S810" s="3">
        <v>320000</v>
      </c>
      <c r="T810" s="1">
        <v>1.487671</v>
      </c>
      <c r="U810" s="3"/>
      <c r="V810" s="3"/>
      <c r="X810" s="1">
        <v>320000</v>
      </c>
      <c r="Y810" s="22">
        <v>1.487671</v>
      </c>
      <c r="Z810" s="4">
        <f>Table1[[#This Row],[totalTimeKept]]*$AD$3</f>
        <v>22315.064999999999</v>
      </c>
      <c r="AA810" s="4">
        <f>Y810-Z810</f>
        <v>-22313.577329</v>
      </c>
    </row>
    <row r="811" spans="1:27" x14ac:dyDescent="0.3">
      <c r="A811" s="1">
        <v>10949217</v>
      </c>
      <c r="B811" s="1" t="s">
        <v>1279</v>
      </c>
      <c r="C811" s="1" t="s">
        <v>798</v>
      </c>
      <c r="D811" s="1">
        <v>10087445</v>
      </c>
      <c r="E811" s="1">
        <v>0</v>
      </c>
      <c r="F811" s="1" t="s">
        <v>25</v>
      </c>
      <c r="G811" s="1" t="s">
        <v>46</v>
      </c>
      <c r="H811" s="2">
        <v>44246</v>
      </c>
      <c r="I811" s="2" t="s">
        <v>25</v>
      </c>
      <c r="J811" s="2">
        <v>44822</v>
      </c>
      <c r="K811" s="3"/>
      <c r="L811" s="3">
        <v>180000</v>
      </c>
      <c r="M811" s="3">
        <v>180000</v>
      </c>
      <c r="N811" s="1">
        <v>1</v>
      </c>
      <c r="O811" s="1">
        <v>0</v>
      </c>
      <c r="P811" s="1">
        <v>1</v>
      </c>
      <c r="Q811" s="3"/>
      <c r="R811" s="3"/>
      <c r="S811" s="3">
        <v>180000</v>
      </c>
      <c r="T811" s="1">
        <v>1.578082</v>
      </c>
      <c r="U811" s="3"/>
      <c r="V811" s="3"/>
      <c r="X811" s="1">
        <v>180000</v>
      </c>
      <c r="Y811" s="22">
        <v>1.578082</v>
      </c>
      <c r="Z811" s="4">
        <f>Table1[[#This Row],[totalTimeKept]]*$AD$3</f>
        <v>23671.23</v>
      </c>
      <c r="AA811" s="4">
        <f>Y811-Z811</f>
        <v>-23669.651918</v>
      </c>
    </row>
    <row r="812" spans="1:27" x14ac:dyDescent="0.3">
      <c r="A812" s="1">
        <v>10949694</v>
      </c>
      <c r="B812" s="1" t="s">
        <v>1280</v>
      </c>
      <c r="C812" s="1" t="s">
        <v>1281</v>
      </c>
      <c r="D812" s="1">
        <v>9886656</v>
      </c>
      <c r="E812" s="1">
        <v>148199</v>
      </c>
      <c r="F812" s="1" t="s">
        <v>46</v>
      </c>
      <c r="G812" s="1" t="s">
        <v>25</v>
      </c>
      <c r="H812" s="2">
        <v>44243</v>
      </c>
      <c r="I812" s="2">
        <v>44817</v>
      </c>
      <c r="J812" s="2" t="s">
        <v>25</v>
      </c>
      <c r="K812" s="3">
        <v>450000</v>
      </c>
      <c r="L812" s="3"/>
      <c r="M812" s="3">
        <v>-450000</v>
      </c>
      <c r="N812" s="1">
        <v>0</v>
      </c>
      <c r="O812" s="1">
        <v>1</v>
      </c>
      <c r="P812" s="1">
        <v>0</v>
      </c>
      <c r="Q812" s="3"/>
      <c r="R812" s="3"/>
      <c r="S812" s="3">
        <v>-301801</v>
      </c>
      <c r="T812" s="1">
        <v>2.432877</v>
      </c>
      <c r="U812" s="3"/>
      <c r="V812" s="3"/>
      <c r="X812" s="1">
        <v>-301801</v>
      </c>
      <c r="Y812" s="22">
        <v>2.432877</v>
      </c>
      <c r="Z812" s="4">
        <f>Table1[[#This Row],[totalTimeKept]]*$AD$3</f>
        <v>36493.154999999999</v>
      </c>
      <c r="AA812" s="4">
        <f>Y812-Z812</f>
        <v>-36490.722123</v>
      </c>
    </row>
    <row r="813" spans="1:27" x14ac:dyDescent="0.3">
      <c r="A813" s="1">
        <v>10962940</v>
      </c>
      <c r="B813" s="1" t="s">
        <v>1282</v>
      </c>
      <c r="C813" s="1" t="s">
        <v>1283</v>
      </c>
      <c r="D813" s="1">
        <v>6958250</v>
      </c>
      <c r="E813" s="1">
        <v>0</v>
      </c>
      <c r="F813" s="1" t="s">
        <v>46</v>
      </c>
      <c r="G813" s="1" t="s">
        <v>25</v>
      </c>
      <c r="H813" s="2">
        <v>44285</v>
      </c>
      <c r="I813" s="2">
        <v>44820</v>
      </c>
      <c r="J813" s="1" t="s">
        <v>25</v>
      </c>
      <c r="K813" s="3">
        <v>535000</v>
      </c>
      <c r="L813" s="3"/>
      <c r="M813" s="3">
        <v>-535000</v>
      </c>
      <c r="N813" s="1">
        <v>0</v>
      </c>
      <c r="O813" s="1">
        <v>1</v>
      </c>
      <c r="P813" s="1">
        <v>0</v>
      </c>
      <c r="Q813" s="3"/>
      <c r="R813" s="3"/>
      <c r="S813" s="3">
        <v>-535000</v>
      </c>
      <c r="T813" s="1">
        <v>2.424658</v>
      </c>
      <c r="U813" s="3"/>
      <c r="V813" s="3"/>
      <c r="X813" s="1">
        <v>-535000</v>
      </c>
      <c r="Y813" s="22">
        <v>2.424658</v>
      </c>
      <c r="Z813" s="4">
        <f>Table1[[#This Row],[totalTimeKept]]*$AD$3</f>
        <v>36369.870000000003</v>
      </c>
      <c r="AA813" s="4">
        <f>Y813-Z813</f>
        <v>-36367.445341999999</v>
      </c>
    </row>
    <row r="814" spans="1:27" x14ac:dyDescent="0.3">
      <c r="A814" s="1">
        <v>10968806</v>
      </c>
      <c r="B814" s="1" t="s">
        <v>1284</v>
      </c>
      <c r="C814" s="1" t="s">
        <v>1285</v>
      </c>
      <c r="D814" s="1">
        <v>7398808</v>
      </c>
      <c r="E814" s="1">
        <v>24600</v>
      </c>
      <c r="F814" s="1" t="s">
        <v>46</v>
      </c>
      <c r="G814" s="1" t="s">
        <v>25</v>
      </c>
      <c r="H814" s="2">
        <v>44285</v>
      </c>
      <c r="I814" s="2">
        <v>44816</v>
      </c>
      <c r="J814" s="1" t="s">
        <v>25</v>
      </c>
      <c r="K814" s="3">
        <v>600000</v>
      </c>
      <c r="L814" s="3"/>
      <c r="M814" s="3">
        <v>-600000</v>
      </c>
      <c r="N814" s="1">
        <v>0</v>
      </c>
      <c r="O814" s="1">
        <v>1</v>
      </c>
      <c r="P814" s="1">
        <v>0</v>
      </c>
      <c r="Q814" s="3"/>
      <c r="R814" s="3"/>
      <c r="S814" s="3">
        <v>-575400</v>
      </c>
      <c r="T814" s="1">
        <v>2.435616</v>
      </c>
      <c r="U814" s="3"/>
      <c r="V814" s="3"/>
      <c r="X814" s="1">
        <v>-575400</v>
      </c>
      <c r="Y814" s="22">
        <v>2.435616</v>
      </c>
      <c r="Z814" s="4">
        <f>Table1[[#This Row],[totalTimeKept]]*$AD$3</f>
        <v>36534.239999999998</v>
      </c>
      <c r="AA814" s="4">
        <f>Y814-Z814</f>
        <v>-36531.804383999995</v>
      </c>
    </row>
    <row r="815" spans="1:27" x14ac:dyDescent="0.3">
      <c r="A815" s="1">
        <v>10970988</v>
      </c>
      <c r="B815" s="1" t="s">
        <v>1286</v>
      </c>
      <c r="C815" s="1" t="s">
        <v>1173</v>
      </c>
      <c r="D815" s="1">
        <v>9495239</v>
      </c>
      <c r="E815" s="1">
        <v>0</v>
      </c>
      <c r="F815" s="1" t="s">
        <v>25</v>
      </c>
      <c r="G815" s="1" t="s">
        <v>46</v>
      </c>
      <c r="H815" s="2">
        <v>44270</v>
      </c>
      <c r="I815" s="2" t="s">
        <v>25</v>
      </c>
      <c r="J815" s="2">
        <v>44820</v>
      </c>
      <c r="K815" s="3"/>
      <c r="L815" s="3">
        <v>100000</v>
      </c>
      <c r="M815" s="3">
        <v>100000</v>
      </c>
      <c r="N815" s="1">
        <v>1</v>
      </c>
      <c r="O815" s="1">
        <v>0</v>
      </c>
      <c r="P815" s="1">
        <v>1</v>
      </c>
      <c r="Q815" s="3"/>
      <c r="R815" s="3"/>
      <c r="S815" s="3">
        <v>100000</v>
      </c>
      <c r="T815" s="1">
        <v>1.5068490000000001</v>
      </c>
      <c r="U815" s="3"/>
      <c r="V815" s="3"/>
      <c r="X815" s="1">
        <v>100000</v>
      </c>
      <c r="Y815" s="22">
        <v>1.5068490000000001</v>
      </c>
      <c r="Z815" s="4">
        <f>Table1[[#This Row],[totalTimeKept]]*$AD$3</f>
        <v>22602.735000000001</v>
      </c>
      <c r="AA815" s="4">
        <f>Y815-Z815</f>
        <v>-22601.228150999999</v>
      </c>
    </row>
    <row r="816" spans="1:27" x14ac:dyDescent="0.3">
      <c r="A816" s="1">
        <v>10970990</v>
      </c>
      <c r="B816" s="1" t="s">
        <v>1287</v>
      </c>
      <c r="C816" s="1" t="s">
        <v>1288</v>
      </c>
      <c r="D816" s="1">
        <v>8613598</v>
      </c>
      <c r="E816" s="1">
        <v>0</v>
      </c>
      <c r="F816" s="1" t="s">
        <v>25</v>
      </c>
      <c r="G816" s="1" t="s">
        <v>349</v>
      </c>
      <c r="H816" s="2">
        <v>44272</v>
      </c>
      <c r="I816" s="2" t="s">
        <v>25</v>
      </c>
      <c r="J816" s="2">
        <v>44510</v>
      </c>
      <c r="K816" s="3"/>
      <c r="L816" s="3">
        <v>170000</v>
      </c>
      <c r="M816" s="3">
        <v>170000</v>
      </c>
      <c r="N816" s="1">
        <v>1</v>
      </c>
      <c r="O816" s="1">
        <v>0</v>
      </c>
      <c r="P816" s="1">
        <v>1</v>
      </c>
      <c r="Q816" s="3"/>
      <c r="R816" s="3"/>
      <c r="S816" s="3">
        <v>170000</v>
      </c>
      <c r="T816" s="1">
        <v>0.65205480000000005</v>
      </c>
      <c r="U816" s="3"/>
      <c r="V816" s="3"/>
      <c r="X816" s="1">
        <v>170000</v>
      </c>
      <c r="Y816" s="22">
        <v>0.65205480000000005</v>
      </c>
      <c r="Z816" s="4">
        <f>Table1[[#This Row],[totalTimeKept]]*$AD$3</f>
        <v>9780.8220000000001</v>
      </c>
      <c r="AA816" s="4">
        <f>Y816-Z816</f>
        <v>-9780.1699451999993</v>
      </c>
    </row>
    <row r="817" spans="1:27" x14ac:dyDescent="0.3">
      <c r="A817" s="1">
        <v>10970991</v>
      </c>
      <c r="B817" s="1" t="s">
        <v>1289</v>
      </c>
      <c r="C817" s="1" t="s">
        <v>244</v>
      </c>
      <c r="D817" s="1">
        <v>8064031</v>
      </c>
      <c r="E817" s="1">
        <v>0</v>
      </c>
      <c r="F817" s="1" t="s">
        <v>25</v>
      </c>
      <c r="G817" s="1" t="s">
        <v>349</v>
      </c>
      <c r="H817" s="2">
        <v>44272</v>
      </c>
      <c r="I817" s="2" t="s">
        <v>25</v>
      </c>
      <c r="J817" s="2">
        <v>44512</v>
      </c>
      <c r="K817" s="3"/>
      <c r="L817" s="3">
        <v>250000</v>
      </c>
      <c r="M817" s="3">
        <v>250000</v>
      </c>
      <c r="N817" s="1">
        <v>1</v>
      </c>
      <c r="O817" s="1">
        <v>0</v>
      </c>
      <c r="P817" s="1">
        <v>1</v>
      </c>
      <c r="Q817" s="3"/>
      <c r="R817" s="3"/>
      <c r="S817" s="3">
        <v>250000</v>
      </c>
      <c r="T817" s="1">
        <v>0.65753419999999996</v>
      </c>
      <c r="U817" s="3"/>
      <c r="V817" s="3"/>
      <c r="X817" s="1">
        <v>250000</v>
      </c>
      <c r="Y817" s="22">
        <v>0.65753419999999996</v>
      </c>
      <c r="Z817" s="4">
        <f>Table1[[#This Row],[totalTimeKept]]*$AD$3</f>
        <v>9863.012999999999</v>
      </c>
      <c r="AA817" s="4">
        <f>Y817-Z817</f>
        <v>-9862.3554657999994</v>
      </c>
    </row>
    <row r="818" spans="1:27" x14ac:dyDescent="0.3">
      <c r="A818" s="1">
        <v>10970998</v>
      </c>
      <c r="B818" s="1" t="s">
        <v>1290</v>
      </c>
      <c r="C818" s="1" t="s">
        <v>477</v>
      </c>
      <c r="D818" s="1">
        <v>6909698</v>
      </c>
      <c r="E818" s="1">
        <v>0</v>
      </c>
      <c r="F818" s="1" t="s">
        <v>25</v>
      </c>
      <c r="G818" s="1" t="s">
        <v>46</v>
      </c>
      <c r="H818" s="2">
        <v>44282</v>
      </c>
      <c r="I818" s="2" t="s">
        <v>25</v>
      </c>
      <c r="J818" s="2">
        <v>44822</v>
      </c>
      <c r="K818" s="3"/>
      <c r="L818" s="3">
        <v>17000</v>
      </c>
      <c r="M818" s="3">
        <v>17000</v>
      </c>
      <c r="N818" s="1">
        <v>1</v>
      </c>
      <c r="O818" s="1">
        <v>0</v>
      </c>
      <c r="P818" s="1">
        <v>1</v>
      </c>
      <c r="Q818" s="3"/>
      <c r="R818" s="3"/>
      <c r="S818" s="3">
        <v>17000</v>
      </c>
      <c r="T818" s="1">
        <v>1.479452</v>
      </c>
      <c r="U818" s="3"/>
      <c r="V818" s="3"/>
      <c r="X818" s="1">
        <v>17000</v>
      </c>
      <c r="Y818" s="22">
        <v>1.479452</v>
      </c>
      <c r="Z818" s="4">
        <f>Table1[[#This Row],[totalTimeKept]]*$AD$3</f>
        <v>22191.78</v>
      </c>
      <c r="AA818" s="4">
        <f>Y818-Z818</f>
        <v>-22190.300547999999</v>
      </c>
    </row>
    <row r="819" spans="1:27" x14ac:dyDescent="0.3">
      <c r="A819" s="1">
        <v>10970999</v>
      </c>
      <c r="B819" s="1" t="s">
        <v>1291</v>
      </c>
      <c r="C819" s="1" t="s">
        <v>169</v>
      </c>
      <c r="D819" s="1">
        <v>7471287</v>
      </c>
      <c r="E819" s="1">
        <v>0</v>
      </c>
      <c r="F819" s="1" t="s">
        <v>25</v>
      </c>
      <c r="G819" s="1" t="s">
        <v>46</v>
      </c>
      <c r="H819" s="2">
        <v>44288</v>
      </c>
      <c r="I819" s="2" t="s">
        <v>25</v>
      </c>
      <c r="J819" s="2">
        <v>44818</v>
      </c>
      <c r="K819" s="3"/>
      <c r="L819" s="3">
        <v>400000</v>
      </c>
      <c r="M819" s="3">
        <v>400000</v>
      </c>
      <c r="N819" s="1">
        <v>1</v>
      </c>
      <c r="O819" s="1">
        <v>0</v>
      </c>
      <c r="P819" s="1">
        <v>1</v>
      </c>
      <c r="Q819" s="3"/>
      <c r="R819" s="3"/>
      <c r="S819" s="3">
        <v>400000</v>
      </c>
      <c r="T819" s="1">
        <v>1.4520550000000001</v>
      </c>
      <c r="U819" s="3"/>
      <c r="V819" s="3"/>
      <c r="X819" s="1">
        <v>400000</v>
      </c>
      <c r="Y819" s="22">
        <v>1.4520550000000001</v>
      </c>
      <c r="Z819" s="4">
        <f>Table1[[#This Row],[totalTimeKept]]*$AD$3</f>
        <v>21780.825000000001</v>
      </c>
      <c r="AA819" s="4">
        <f>Y819-Z819</f>
        <v>-21779.372944999999</v>
      </c>
    </row>
    <row r="820" spans="1:27" x14ac:dyDescent="0.3">
      <c r="A820" s="1">
        <v>10971008</v>
      </c>
      <c r="B820" s="1" t="s">
        <v>1292</v>
      </c>
      <c r="C820" s="1" t="s">
        <v>125</v>
      </c>
      <c r="D820" s="1">
        <v>6863797</v>
      </c>
      <c r="E820" s="1">
        <v>0</v>
      </c>
      <c r="F820" s="1" t="s">
        <v>25</v>
      </c>
      <c r="G820" s="1" t="s">
        <v>349</v>
      </c>
      <c r="H820" s="2">
        <v>44296</v>
      </c>
      <c r="I820" s="2" t="s">
        <v>25</v>
      </c>
      <c r="J820" s="2">
        <v>44514</v>
      </c>
      <c r="K820" s="3"/>
      <c r="L820" s="3">
        <v>60000</v>
      </c>
      <c r="M820" s="3">
        <v>60000</v>
      </c>
      <c r="N820" s="1">
        <v>1</v>
      </c>
      <c r="O820" s="1">
        <v>0</v>
      </c>
      <c r="P820" s="1">
        <v>1</v>
      </c>
      <c r="Q820" s="3"/>
      <c r="R820" s="3"/>
      <c r="S820" s="3">
        <v>60000</v>
      </c>
      <c r="T820" s="1">
        <v>0.59726029999999997</v>
      </c>
      <c r="U820" s="3"/>
      <c r="V820" s="3"/>
      <c r="X820" s="1">
        <v>60000</v>
      </c>
      <c r="Y820" s="22">
        <v>0.59726029999999997</v>
      </c>
      <c r="Z820" s="4">
        <f>Table1[[#This Row],[totalTimeKept]]*$AD$3</f>
        <v>8958.9044999999987</v>
      </c>
      <c r="AA820" s="4">
        <f>Y820-Z820</f>
        <v>-8958.3072396999996</v>
      </c>
    </row>
    <row r="821" spans="1:27" x14ac:dyDescent="0.3">
      <c r="A821" s="1">
        <v>10971009</v>
      </c>
      <c r="B821" s="1" t="s">
        <v>1293</v>
      </c>
      <c r="C821" s="1" t="s">
        <v>111</v>
      </c>
      <c r="D821" s="1">
        <v>6634089</v>
      </c>
      <c r="E821" s="1">
        <v>0</v>
      </c>
      <c r="F821" s="1" t="s">
        <v>25</v>
      </c>
      <c r="G821" s="1" t="s">
        <v>349</v>
      </c>
      <c r="H821" s="2">
        <v>44296</v>
      </c>
      <c r="I821" s="2" t="s">
        <v>25</v>
      </c>
      <c r="J821" s="2">
        <v>44510</v>
      </c>
      <c r="K821" s="3"/>
      <c r="L821" s="3">
        <v>200000</v>
      </c>
      <c r="M821" s="3">
        <v>200000</v>
      </c>
      <c r="N821" s="1">
        <v>1</v>
      </c>
      <c r="O821" s="1">
        <v>0</v>
      </c>
      <c r="P821" s="1">
        <v>1</v>
      </c>
      <c r="Q821" s="3"/>
      <c r="R821" s="3"/>
      <c r="S821" s="3">
        <v>200000</v>
      </c>
      <c r="T821" s="1">
        <v>0.58630139999999997</v>
      </c>
      <c r="U821" s="3"/>
      <c r="V821" s="3"/>
      <c r="X821" s="1">
        <v>200000</v>
      </c>
      <c r="Y821" s="22">
        <v>0.58630139999999997</v>
      </c>
      <c r="Z821" s="4">
        <f>Table1[[#This Row],[totalTimeKept]]*$AD$3</f>
        <v>8794.5209999999988</v>
      </c>
      <c r="AA821" s="4">
        <f>Y821-Z821</f>
        <v>-8793.9346985999982</v>
      </c>
    </row>
    <row r="822" spans="1:27" x14ac:dyDescent="0.3">
      <c r="A822" s="1">
        <v>10971012</v>
      </c>
      <c r="B822" s="1" t="s">
        <v>1294</v>
      </c>
      <c r="C822" s="1" t="s">
        <v>836</v>
      </c>
      <c r="D822" s="1">
        <v>10131689</v>
      </c>
      <c r="E822" s="1">
        <v>0</v>
      </c>
      <c r="F822" s="1" t="s">
        <v>25</v>
      </c>
      <c r="G822" s="1" t="s">
        <v>349</v>
      </c>
      <c r="H822" s="2">
        <v>44296</v>
      </c>
      <c r="I822" s="2" t="s">
        <v>25</v>
      </c>
      <c r="J822" s="2">
        <v>44510</v>
      </c>
      <c r="K822" s="3"/>
      <c r="L822" s="3">
        <v>270000</v>
      </c>
      <c r="M822" s="3">
        <v>270000</v>
      </c>
      <c r="N822" s="1">
        <v>1</v>
      </c>
      <c r="O822" s="1">
        <v>0</v>
      </c>
      <c r="P822" s="1">
        <v>1</v>
      </c>
      <c r="Q822" s="3"/>
      <c r="R822" s="3"/>
      <c r="S822" s="3">
        <v>270000</v>
      </c>
      <c r="T822" s="1">
        <v>0.58630139999999997</v>
      </c>
      <c r="U822" s="3"/>
      <c r="V822" s="3"/>
      <c r="X822" s="1">
        <v>270000</v>
      </c>
      <c r="Y822" s="22">
        <v>0.58630139999999997</v>
      </c>
      <c r="Z822" s="4">
        <f>Table1[[#This Row],[totalTimeKept]]*$AD$3</f>
        <v>8794.5209999999988</v>
      </c>
      <c r="AA822" s="4">
        <f>Y822-Z822</f>
        <v>-8793.9346985999982</v>
      </c>
    </row>
    <row r="823" spans="1:27" x14ac:dyDescent="0.3">
      <c r="A823" s="1">
        <v>10971995</v>
      </c>
      <c r="B823" s="1" t="s">
        <v>1295</v>
      </c>
      <c r="C823" s="1" t="s">
        <v>1296</v>
      </c>
      <c r="D823" s="1">
        <v>7097690</v>
      </c>
      <c r="E823" s="1">
        <v>8200</v>
      </c>
      <c r="F823" s="1" t="s">
        <v>46</v>
      </c>
      <c r="G823" s="1" t="s">
        <v>846</v>
      </c>
      <c r="H823" s="2">
        <v>44303</v>
      </c>
      <c r="I823" s="2">
        <v>44817</v>
      </c>
      <c r="J823" s="2">
        <v>45481</v>
      </c>
      <c r="K823" s="3">
        <v>350000</v>
      </c>
      <c r="L823" s="3">
        <v>62000</v>
      </c>
      <c r="M823" s="3">
        <v>-288000</v>
      </c>
      <c r="N823" s="1">
        <v>0</v>
      </c>
      <c r="O823" s="1">
        <v>1</v>
      </c>
      <c r="P823" s="1">
        <v>1</v>
      </c>
      <c r="Q823" s="3"/>
      <c r="R823" s="3"/>
      <c r="S823" s="3">
        <v>-279800</v>
      </c>
      <c r="T823" s="1">
        <v>1.819178</v>
      </c>
      <c r="U823" s="3"/>
      <c r="V823" s="3"/>
      <c r="X823" s="1">
        <v>-279800</v>
      </c>
      <c r="Y823" s="22">
        <v>1.819178</v>
      </c>
      <c r="Z823" s="4">
        <f>Table1[[#This Row],[totalTimeKept]]*$AD$3</f>
        <v>27287.67</v>
      </c>
      <c r="AA823" s="4">
        <f>Y823-Z823</f>
        <v>-27285.850821999997</v>
      </c>
    </row>
    <row r="824" spans="1:27" x14ac:dyDescent="0.3">
      <c r="A824" s="1">
        <v>10972790</v>
      </c>
      <c r="B824" s="1" t="s">
        <v>1297</v>
      </c>
      <c r="C824" s="1" t="s">
        <v>1298</v>
      </c>
      <c r="D824" s="1">
        <v>9855487</v>
      </c>
      <c r="E824" s="1">
        <v>4961.75</v>
      </c>
      <c r="F824" s="1" t="s">
        <v>46</v>
      </c>
      <c r="G824" s="1" t="s">
        <v>846</v>
      </c>
      <c r="H824" s="2">
        <v>44309</v>
      </c>
      <c r="I824" s="2">
        <v>44817</v>
      </c>
      <c r="J824" s="2">
        <v>45426</v>
      </c>
      <c r="K824" s="3">
        <v>825000</v>
      </c>
      <c r="L824" s="3">
        <v>38000</v>
      </c>
      <c r="M824" s="3">
        <v>-787000</v>
      </c>
      <c r="N824" s="1">
        <v>0</v>
      </c>
      <c r="O824" s="1">
        <v>1</v>
      </c>
      <c r="P824" s="1">
        <v>1</v>
      </c>
      <c r="Q824" s="3"/>
      <c r="R824" s="3"/>
      <c r="S824" s="3">
        <v>-782038.3</v>
      </c>
      <c r="T824" s="1">
        <v>1.668493</v>
      </c>
      <c r="U824" s="3"/>
      <c r="V824" s="3"/>
      <c r="X824" s="1">
        <v>-782038.3</v>
      </c>
      <c r="Y824" s="22">
        <v>1.668493</v>
      </c>
      <c r="Z824" s="4">
        <f>Table1[[#This Row],[totalTimeKept]]*$AD$3</f>
        <v>25027.395</v>
      </c>
      <c r="AA824" s="4">
        <f>Y824-Z824</f>
        <v>-25025.726506999999</v>
      </c>
    </row>
    <row r="825" spans="1:27" x14ac:dyDescent="0.3">
      <c r="A825" s="1">
        <v>10973419</v>
      </c>
      <c r="B825" s="1" t="s">
        <v>1299</v>
      </c>
      <c r="C825" s="1" t="s">
        <v>1300</v>
      </c>
      <c r="D825" s="1">
        <v>8049489</v>
      </c>
      <c r="E825" s="1">
        <v>0</v>
      </c>
      <c r="F825" s="1" t="s">
        <v>139</v>
      </c>
      <c r="G825" s="1" t="s">
        <v>25</v>
      </c>
      <c r="H825" s="2">
        <v>44309</v>
      </c>
      <c r="I825" s="2">
        <v>45607</v>
      </c>
      <c r="J825" s="2" t="s">
        <v>25</v>
      </c>
      <c r="K825" s="3">
        <v>85000</v>
      </c>
      <c r="L825" s="3"/>
      <c r="M825" s="3">
        <v>-85000</v>
      </c>
      <c r="N825" s="1">
        <v>0</v>
      </c>
      <c r="O825" s="1">
        <v>1</v>
      </c>
      <c r="P825" s="1">
        <v>0</v>
      </c>
      <c r="Q825" s="3"/>
      <c r="R825" s="3"/>
      <c r="S825" s="3">
        <v>-85000</v>
      </c>
      <c r="T825" s="1">
        <v>0.26849309999999998</v>
      </c>
      <c r="U825" s="3"/>
      <c r="V825" s="3"/>
      <c r="X825" s="1">
        <v>-85000</v>
      </c>
      <c r="Y825" s="22">
        <v>0.26849309999999998</v>
      </c>
      <c r="Z825" s="4">
        <f>Table1[[#This Row],[totalTimeKept]]*$AD$3</f>
        <v>4027.3964999999998</v>
      </c>
      <c r="AA825" s="4">
        <f>Y825-Z825</f>
        <v>-4027.1280068999999</v>
      </c>
    </row>
    <row r="826" spans="1:27" x14ac:dyDescent="0.3">
      <c r="A826" s="1">
        <v>10975355</v>
      </c>
      <c r="B826" s="1" t="s">
        <v>1301</v>
      </c>
      <c r="C826" s="1" t="s">
        <v>1302</v>
      </c>
      <c r="D826" s="1">
        <v>9671838</v>
      </c>
      <c r="E826" s="1">
        <v>63000</v>
      </c>
      <c r="F826" s="1" t="s">
        <v>46</v>
      </c>
      <c r="G826" s="1" t="s">
        <v>25</v>
      </c>
      <c r="H826" s="2">
        <v>44284</v>
      </c>
      <c r="I826" s="2">
        <v>44818</v>
      </c>
      <c r="J826" s="1" t="s">
        <v>25</v>
      </c>
      <c r="K826" s="3">
        <v>485000</v>
      </c>
      <c r="L826" s="3"/>
      <c r="M826" s="3">
        <v>-485000</v>
      </c>
      <c r="N826" s="1">
        <v>0</v>
      </c>
      <c r="O826" s="1">
        <v>1</v>
      </c>
      <c r="P826" s="1">
        <v>0</v>
      </c>
      <c r="Q826" s="3"/>
      <c r="R826" s="3"/>
      <c r="S826" s="3">
        <v>-422000</v>
      </c>
      <c r="T826" s="1">
        <v>2.4301370000000002</v>
      </c>
      <c r="U826" s="3"/>
      <c r="V826" s="3"/>
      <c r="X826" s="1">
        <v>-422000</v>
      </c>
      <c r="Y826" s="22">
        <v>2.4301370000000002</v>
      </c>
      <c r="Z826" s="4">
        <f>Table1[[#This Row],[totalTimeKept]]*$AD$3</f>
        <v>36452.055</v>
      </c>
      <c r="AA826" s="4">
        <f>Y826-Z826</f>
        <v>-36449.624862999997</v>
      </c>
    </row>
    <row r="827" spans="1:27" x14ac:dyDescent="0.3">
      <c r="A827" s="1">
        <v>10977006</v>
      </c>
      <c r="B827" s="1" t="s">
        <v>1303</v>
      </c>
      <c r="C827" s="1" t="s">
        <v>1304</v>
      </c>
      <c r="D827" s="1">
        <v>9699471</v>
      </c>
      <c r="E827" s="1">
        <v>33150</v>
      </c>
      <c r="F827" s="1" t="s">
        <v>46</v>
      </c>
      <c r="G827" s="1" t="s">
        <v>25</v>
      </c>
      <c r="H827" s="2">
        <v>44297</v>
      </c>
      <c r="I827" s="2">
        <v>44818</v>
      </c>
      <c r="J827" s="1" t="s">
        <v>25</v>
      </c>
      <c r="K827" s="3">
        <v>700000</v>
      </c>
      <c r="L827" s="3"/>
      <c r="M827" s="3">
        <v>-700000</v>
      </c>
      <c r="N827" s="1">
        <v>0</v>
      </c>
      <c r="O827" s="1">
        <v>1</v>
      </c>
      <c r="P827" s="1">
        <v>0</v>
      </c>
      <c r="Q827" s="3"/>
      <c r="R827" s="3"/>
      <c r="S827" s="3">
        <v>-666850</v>
      </c>
      <c r="T827" s="1">
        <v>2.4301370000000002</v>
      </c>
      <c r="U827" s="3"/>
      <c r="V827" s="3"/>
      <c r="X827" s="1">
        <v>-666850</v>
      </c>
      <c r="Y827" s="22">
        <v>2.4301370000000002</v>
      </c>
      <c r="Z827" s="4">
        <f>Table1[[#This Row],[totalTimeKept]]*$AD$3</f>
        <v>36452.055</v>
      </c>
      <c r="AA827" s="4">
        <f>Y827-Z827</f>
        <v>-36449.624862999997</v>
      </c>
    </row>
    <row r="828" spans="1:27" x14ac:dyDescent="0.3">
      <c r="A828" s="1">
        <v>10978771</v>
      </c>
      <c r="B828" s="1" t="s">
        <v>1305</v>
      </c>
      <c r="C828" s="1" t="s">
        <v>1306</v>
      </c>
      <c r="D828" s="1">
        <v>7744476</v>
      </c>
      <c r="E828" s="1">
        <v>430700</v>
      </c>
      <c r="F828" s="1" t="s">
        <v>46</v>
      </c>
      <c r="G828" s="1" t="s">
        <v>25</v>
      </c>
      <c r="H828" s="2">
        <v>44309</v>
      </c>
      <c r="I828" s="2">
        <v>44817</v>
      </c>
      <c r="J828" s="1" t="s">
        <v>25</v>
      </c>
      <c r="K828" s="3">
        <v>1050000</v>
      </c>
      <c r="L828" s="3"/>
      <c r="M828" s="3">
        <v>-1050000</v>
      </c>
      <c r="N828" s="1">
        <v>0</v>
      </c>
      <c r="O828" s="1">
        <v>1</v>
      </c>
      <c r="P828" s="1">
        <v>0</v>
      </c>
      <c r="Q828" s="3"/>
      <c r="R828" s="3"/>
      <c r="S828" s="3">
        <v>-619300</v>
      </c>
      <c r="T828" s="1">
        <v>2.432877</v>
      </c>
      <c r="U828" s="3"/>
      <c r="V828" s="3"/>
      <c r="X828" s="1">
        <v>-619300</v>
      </c>
      <c r="Y828" s="22">
        <v>2.432877</v>
      </c>
      <c r="Z828" s="4">
        <f>Table1[[#This Row],[totalTimeKept]]*$AD$3</f>
        <v>36493.154999999999</v>
      </c>
      <c r="AA828" s="4">
        <f>Y828-Z828</f>
        <v>-36490.722123</v>
      </c>
    </row>
    <row r="829" spans="1:27" x14ac:dyDescent="0.3">
      <c r="A829" s="1">
        <v>10980081</v>
      </c>
      <c r="B829" s="1" t="s">
        <v>1307</v>
      </c>
      <c r="C829" s="1" t="s">
        <v>101</v>
      </c>
      <c r="D829" s="1">
        <v>6489834</v>
      </c>
      <c r="E829" s="1">
        <v>0</v>
      </c>
      <c r="F829" s="1" t="s">
        <v>25</v>
      </c>
      <c r="G829" s="1" t="s">
        <v>349</v>
      </c>
      <c r="H829" s="2">
        <v>44298</v>
      </c>
      <c r="I829" s="2" t="s">
        <v>25</v>
      </c>
      <c r="J829" s="2">
        <v>44511</v>
      </c>
      <c r="K829" s="3"/>
      <c r="L829" s="3">
        <v>50000</v>
      </c>
      <c r="M829" s="3">
        <v>50000</v>
      </c>
      <c r="N829" s="1">
        <v>1</v>
      </c>
      <c r="O829" s="1">
        <v>0</v>
      </c>
      <c r="P829" s="1">
        <v>1</v>
      </c>
      <c r="Q829" s="3"/>
      <c r="R829" s="3"/>
      <c r="S829" s="3">
        <v>50000</v>
      </c>
      <c r="T829" s="1">
        <v>0.58356169999999996</v>
      </c>
      <c r="U829" s="3"/>
      <c r="V829" s="3"/>
      <c r="X829" s="1">
        <v>50000</v>
      </c>
      <c r="Y829" s="22">
        <v>0.58356169999999996</v>
      </c>
      <c r="Z829" s="4">
        <f>Table1[[#This Row],[totalTimeKept]]*$AD$3</f>
        <v>8753.4254999999994</v>
      </c>
      <c r="AA829" s="4">
        <f>Y829-Z829</f>
        <v>-8752.8419383</v>
      </c>
    </row>
    <row r="830" spans="1:27" x14ac:dyDescent="0.3">
      <c r="A830" s="1">
        <v>10981452</v>
      </c>
      <c r="B830" s="1" t="s">
        <v>1308</v>
      </c>
      <c r="C830" s="1" t="s">
        <v>1309</v>
      </c>
      <c r="D830" s="1">
        <v>9477939</v>
      </c>
      <c r="E830" s="1">
        <v>0</v>
      </c>
      <c r="F830" s="1" t="s">
        <v>46</v>
      </c>
      <c r="G830" s="1" t="s">
        <v>25</v>
      </c>
      <c r="H830" s="2">
        <v>44317</v>
      </c>
      <c r="I830" s="2">
        <v>44822</v>
      </c>
      <c r="J830" s="2" t="s">
        <v>25</v>
      </c>
      <c r="K830" s="3">
        <v>485000</v>
      </c>
      <c r="L830" s="3"/>
      <c r="M830" s="3">
        <v>-485000</v>
      </c>
      <c r="N830" s="1">
        <v>0</v>
      </c>
      <c r="O830" s="1">
        <v>1</v>
      </c>
      <c r="P830" s="1">
        <v>0</v>
      </c>
      <c r="Q830" s="3"/>
      <c r="R830" s="3"/>
      <c r="S830" s="3">
        <v>-485000</v>
      </c>
      <c r="T830" s="1">
        <v>2.4191780000000001</v>
      </c>
      <c r="U830" s="3"/>
      <c r="V830" s="3"/>
      <c r="X830" s="1">
        <v>-485000</v>
      </c>
      <c r="Y830" s="22">
        <v>2.4191780000000001</v>
      </c>
      <c r="Z830" s="4">
        <f>Table1[[#This Row],[totalTimeKept]]*$AD$3</f>
        <v>36287.67</v>
      </c>
      <c r="AA830" s="4">
        <f>Y830-Z830</f>
        <v>-36285.250822000002</v>
      </c>
    </row>
    <row r="831" spans="1:27" x14ac:dyDescent="0.3">
      <c r="A831" s="1">
        <v>10982831</v>
      </c>
      <c r="B831" s="1" t="s">
        <v>1310</v>
      </c>
      <c r="C831" s="1" t="s">
        <v>215</v>
      </c>
      <c r="D831" s="1">
        <v>7877979</v>
      </c>
      <c r="E831" s="1">
        <v>0</v>
      </c>
      <c r="F831" s="1" t="s">
        <v>25</v>
      </c>
      <c r="G831" s="1" t="s">
        <v>349</v>
      </c>
      <c r="H831" s="2">
        <v>44223</v>
      </c>
      <c r="I831" s="2" t="s">
        <v>25</v>
      </c>
      <c r="J831" s="2">
        <v>44512</v>
      </c>
      <c r="K831" s="3"/>
      <c r="L831" s="3">
        <v>160000</v>
      </c>
      <c r="M831" s="3">
        <v>160000</v>
      </c>
      <c r="N831" s="1">
        <v>1</v>
      </c>
      <c r="O831" s="1">
        <v>0</v>
      </c>
      <c r="P831" s="1">
        <v>1</v>
      </c>
      <c r="Q831" s="3"/>
      <c r="R831" s="3"/>
      <c r="S831" s="3">
        <v>160000</v>
      </c>
      <c r="T831" s="1">
        <v>0.79178079999999995</v>
      </c>
      <c r="U831" s="3"/>
      <c r="V831" s="3"/>
      <c r="X831" s="1">
        <v>160000</v>
      </c>
      <c r="Y831" s="22">
        <v>0.79178079999999995</v>
      </c>
      <c r="Z831" s="4">
        <f>Table1[[#This Row],[totalTimeKept]]*$AD$3</f>
        <v>11876.712</v>
      </c>
      <c r="AA831" s="4">
        <f>Y831-Z831</f>
        <v>-11875.920219199999</v>
      </c>
    </row>
    <row r="832" spans="1:27" x14ac:dyDescent="0.3">
      <c r="A832" s="1">
        <v>10982832</v>
      </c>
      <c r="B832" s="1" t="s">
        <v>1311</v>
      </c>
      <c r="C832" s="1" t="s">
        <v>1312</v>
      </c>
      <c r="D832" s="1">
        <v>10084007</v>
      </c>
      <c r="E832" s="1">
        <v>0</v>
      </c>
      <c r="F832" s="1" t="s">
        <v>25</v>
      </c>
      <c r="G832" s="1" t="s">
        <v>46</v>
      </c>
      <c r="H832" s="2">
        <v>44226</v>
      </c>
      <c r="I832" s="2" t="s">
        <v>25</v>
      </c>
      <c r="J832" s="2">
        <v>44822</v>
      </c>
      <c r="K832" s="3"/>
      <c r="L832" s="3">
        <v>90000</v>
      </c>
      <c r="M832" s="3">
        <v>90000</v>
      </c>
      <c r="N832" s="1">
        <v>1</v>
      </c>
      <c r="O832" s="1">
        <v>0</v>
      </c>
      <c r="P832" s="1">
        <v>1</v>
      </c>
      <c r="Q832" s="3"/>
      <c r="R832" s="3"/>
      <c r="S832" s="3">
        <v>90000</v>
      </c>
      <c r="T832" s="1">
        <v>1.6328769999999999</v>
      </c>
      <c r="U832" s="3"/>
      <c r="V832" s="3"/>
      <c r="X832" s="1">
        <v>90000</v>
      </c>
      <c r="Y832" s="22">
        <v>1.6328769999999999</v>
      </c>
      <c r="Z832" s="4">
        <f>Table1[[#This Row],[totalTimeKept]]*$AD$3</f>
        <v>24493.154999999999</v>
      </c>
      <c r="AA832" s="4">
        <f>Y832-Z832</f>
        <v>-24491.522122999999</v>
      </c>
    </row>
    <row r="833" spans="1:27" x14ac:dyDescent="0.3">
      <c r="A833" s="1">
        <v>10982833</v>
      </c>
      <c r="B833" s="1" t="s">
        <v>1313</v>
      </c>
      <c r="C833" s="1" t="s">
        <v>57</v>
      </c>
      <c r="D833" s="1">
        <v>4630395</v>
      </c>
      <c r="E833" s="1">
        <v>0</v>
      </c>
      <c r="F833" s="1" t="s">
        <v>25</v>
      </c>
      <c r="G833" s="1" t="s">
        <v>349</v>
      </c>
      <c r="H833" s="2">
        <v>44237</v>
      </c>
      <c r="I833" s="2" t="s">
        <v>25</v>
      </c>
      <c r="J833" s="2">
        <v>44511</v>
      </c>
      <c r="K833" s="3"/>
      <c r="L833" s="3">
        <v>200000</v>
      </c>
      <c r="M833" s="3">
        <v>200000</v>
      </c>
      <c r="N833" s="1">
        <v>1</v>
      </c>
      <c r="O833" s="1">
        <v>0</v>
      </c>
      <c r="P833" s="1">
        <v>1</v>
      </c>
      <c r="Q833" s="3"/>
      <c r="R833" s="3"/>
      <c r="S833" s="3">
        <v>200000</v>
      </c>
      <c r="T833" s="1">
        <v>0.75068489999999999</v>
      </c>
      <c r="U833" s="3"/>
      <c r="V833" s="3"/>
      <c r="X833" s="1">
        <v>200000</v>
      </c>
      <c r="Y833" s="22">
        <v>0.75068489999999999</v>
      </c>
      <c r="Z833" s="4">
        <f>Table1[[#This Row],[totalTimeKept]]*$AD$3</f>
        <v>11260.273499999999</v>
      </c>
      <c r="AA833" s="4">
        <f>Y833-Z833</f>
        <v>-11259.522815099999</v>
      </c>
    </row>
    <row r="834" spans="1:27" x14ac:dyDescent="0.3">
      <c r="A834" s="1">
        <v>10982834</v>
      </c>
      <c r="B834" s="1" t="s">
        <v>1314</v>
      </c>
      <c r="C834" s="1" t="s">
        <v>678</v>
      </c>
      <c r="D834" s="1">
        <v>9709845</v>
      </c>
      <c r="E834" s="1">
        <v>0</v>
      </c>
      <c r="F834" s="1" t="s">
        <v>25</v>
      </c>
      <c r="G834" s="1" t="s">
        <v>46</v>
      </c>
      <c r="H834" s="2">
        <v>44243</v>
      </c>
      <c r="I834" s="2" t="s">
        <v>25</v>
      </c>
      <c r="J834" s="2">
        <v>44572</v>
      </c>
      <c r="K834" s="3"/>
      <c r="L834" s="3">
        <v>18000</v>
      </c>
      <c r="M834" s="3">
        <v>18000</v>
      </c>
      <c r="N834" s="1">
        <v>1</v>
      </c>
      <c r="O834" s="1">
        <v>0</v>
      </c>
      <c r="P834" s="1">
        <v>1</v>
      </c>
      <c r="Q834" s="3"/>
      <c r="R834" s="3"/>
      <c r="S834" s="3">
        <v>18000</v>
      </c>
      <c r="T834" s="1">
        <v>0.90136989999999995</v>
      </c>
      <c r="U834" s="3"/>
      <c r="V834" s="3"/>
      <c r="X834" s="1">
        <v>18000</v>
      </c>
      <c r="Y834" s="22">
        <v>0.90136989999999995</v>
      </c>
      <c r="Z834" s="4">
        <f>Table1[[#This Row],[totalTimeKept]]*$AD$3</f>
        <v>13520.548499999999</v>
      </c>
      <c r="AA834" s="4">
        <f>Y834-Z834</f>
        <v>-13519.647130099998</v>
      </c>
    </row>
    <row r="835" spans="1:27" x14ac:dyDescent="0.3">
      <c r="A835" s="1">
        <v>10982836</v>
      </c>
      <c r="B835" s="1" t="s">
        <v>1315</v>
      </c>
      <c r="C835" s="1" t="s">
        <v>1316</v>
      </c>
      <c r="D835" s="1">
        <v>10312464</v>
      </c>
      <c r="E835" s="1">
        <v>0</v>
      </c>
      <c r="F835" s="1" t="s">
        <v>25</v>
      </c>
      <c r="G835" s="1" t="s">
        <v>46</v>
      </c>
      <c r="H835" s="2">
        <v>44258</v>
      </c>
      <c r="I835" s="2" t="s">
        <v>25</v>
      </c>
      <c r="J835" s="2">
        <v>44572</v>
      </c>
      <c r="K835" s="3"/>
      <c r="L835" s="3">
        <v>35000</v>
      </c>
      <c r="M835" s="3">
        <v>35000</v>
      </c>
      <c r="N835" s="1">
        <v>1</v>
      </c>
      <c r="O835" s="1">
        <v>0</v>
      </c>
      <c r="P835" s="1">
        <v>1</v>
      </c>
      <c r="Q835" s="3"/>
      <c r="R835" s="3"/>
      <c r="S835" s="3">
        <v>35000</v>
      </c>
      <c r="T835" s="1">
        <v>0.86027399999999998</v>
      </c>
      <c r="U835" s="3"/>
      <c r="V835" s="3"/>
      <c r="X835" s="1">
        <v>35000</v>
      </c>
      <c r="Y835" s="22">
        <v>0.86027399999999998</v>
      </c>
      <c r="Z835" s="4">
        <f>Table1[[#This Row],[totalTimeKept]]*$AD$3</f>
        <v>12904.11</v>
      </c>
      <c r="AA835" s="4">
        <f>Y835-Z835</f>
        <v>-12903.249726</v>
      </c>
    </row>
    <row r="836" spans="1:27" x14ac:dyDescent="0.3">
      <c r="A836" s="1">
        <v>10982843</v>
      </c>
      <c r="B836" s="1" t="s">
        <v>1317</v>
      </c>
      <c r="C836" s="1" t="s">
        <v>579</v>
      </c>
      <c r="D836" s="1">
        <v>9497666</v>
      </c>
      <c r="E836" s="1">
        <v>0</v>
      </c>
      <c r="F836" s="1" t="s">
        <v>25</v>
      </c>
      <c r="G836" s="1" t="s">
        <v>46</v>
      </c>
      <c r="H836" s="2">
        <v>44305</v>
      </c>
      <c r="I836" s="2" t="s">
        <v>25</v>
      </c>
      <c r="J836" s="2">
        <v>44822</v>
      </c>
      <c r="K836" s="3"/>
      <c r="L836" s="3">
        <v>85000</v>
      </c>
      <c r="M836" s="3">
        <v>85000</v>
      </c>
      <c r="N836" s="1">
        <v>1</v>
      </c>
      <c r="O836" s="1">
        <v>0</v>
      </c>
      <c r="P836" s="1">
        <v>1</v>
      </c>
      <c r="Q836" s="3"/>
      <c r="R836" s="3"/>
      <c r="S836" s="3">
        <v>85000</v>
      </c>
      <c r="T836" s="1">
        <v>1.4164380000000001</v>
      </c>
      <c r="U836" s="3"/>
      <c r="V836" s="3"/>
      <c r="X836" s="1">
        <v>85000</v>
      </c>
      <c r="Y836" s="22">
        <v>1.4164380000000001</v>
      </c>
      <c r="Z836" s="4">
        <f>Table1[[#This Row],[totalTimeKept]]*$AD$3</f>
        <v>21246.57</v>
      </c>
      <c r="AA836" s="4">
        <f>Y836-Z836</f>
        <v>-21245.153562</v>
      </c>
    </row>
    <row r="837" spans="1:27" x14ac:dyDescent="0.3">
      <c r="A837" s="1">
        <v>10982850</v>
      </c>
      <c r="B837" s="1" t="s">
        <v>1318</v>
      </c>
      <c r="C837" s="1" t="s">
        <v>175</v>
      </c>
      <c r="D837" s="1">
        <v>7493049</v>
      </c>
      <c r="E837" s="1">
        <v>0</v>
      </c>
      <c r="F837" s="1" t="s">
        <v>25</v>
      </c>
      <c r="G837" s="1" t="s">
        <v>46</v>
      </c>
      <c r="H837" s="2">
        <v>44320</v>
      </c>
      <c r="I837" s="2" t="s">
        <v>25</v>
      </c>
      <c r="J837" s="2">
        <v>44824</v>
      </c>
      <c r="K837" s="3"/>
      <c r="L837" s="3">
        <v>5000</v>
      </c>
      <c r="M837" s="3">
        <v>5000</v>
      </c>
      <c r="N837" s="1">
        <v>1</v>
      </c>
      <c r="O837" s="1">
        <v>0</v>
      </c>
      <c r="P837" s="1">
        <v>1</v>
      </c>
      <c r="Q837" s="3"/>
      <c r="R837" s="3"/>
      <c r="S837" s="3">
        <v>5000</v>
      </c>
      <c r="T837" s="1">
        <v>1.380822</v>
      </c>
      <c r="U837" s="3"/>
      <c r="V837" s="3"/>
      <c r="X837" s="1">
        <v>5000</v>
      </c>
      <c r="Y837" s="22">
        <v>1.380822</v>
      </c>
      <c r="Z837" s="4">
        <f>Table1[[#This Row],[totalTimeKept]]*$AD$3</f>
        <v>20712.329999999998</v>
      </c>
      <c r="AA837" s="4">
        <f>Y837-Z837</f>
        <v>-20710.949177999999</v>
      </c>
    </row>
    <row r="838" spans="1:27" x14ac:dyDescent="0.3">
      <c r="A838" s="1">
        <v>10982856</v>
      </c>
      <c r="B838" s="1" t="s">
        <v>1319</v>
      </c>
      <c r="C838" s="1" t="s">
        <v>1219</v>
      </c>
      <c r="D838" s="1">
        <v>7730238</v>
      </c>
      <c r="E838" s="1">
        <v>0</v>
      </c>
      <c r="F838" s="1" t="s">
        <v>25</v>
      </c>
      <c r="G838" s="1" t="s">
        <v>46</v>
      </c>
      <c r="H838" s="2">
        <v>44325</v>
      </c>
      <c r="I838" s="2" t="s">
        <v>25</v>
      </c>
      <c r="J838" s="2">
        <v>44816</v>
      </c>
      <c r="K838" s="3"/>
      <c r="L838" s="3">
        <v>170000</v>
      </c>
      <c r="M838" s="3">
        <v>170000</v>
      </c>
      <c r="N838" s="1">
        <v>1</v>
      </c>
      <c r="O838" s="1">
        <v>0</v>
      </c>
      <c r="P838" s="1">
        <v>1</v>
      </c>
      <c r="Q838" s="3"/>
      <c r="R838" s="3"/>
      <c r="S838" s="3">
        <v>170000</v>
      </c>
      <c r="T838" s="1">
        <v>1.345205</v>
      </c>
      <c r="U838" s="3"/>
      <c r="V838" s="3"/>
      <c r="X838" s="1">
        <v>170000</v>
      </c>
      <c r="Y838" s="22">
        <v>1.345205</v>
      </c>
      <c r="Z838" s="4">
        <f>Table1[[#This Row],[totalTimeKept]]*$AD$3</f>
        <v>20178.075000000001</v>
      </c>
      <c r="AA838" s="4">
        <f>Y838-Z838</f>
        <v>-20176.729794999999</v>
      </c>
    </row>
    <row r="839" spans="1:27" x14ac:dyDescent="0.3">
      <c r="A839" s="1">
        <v>10983085</v>
      </c>
      <c r="B839" s="1" t="s">
        <v>1320</v>
      </c>
      <c r="C839" s="1" t="s">
        <v>1101</v>
      </c>
      <c r="D839" s="1">
        <v>6879147</v>
      </c>
      <c r="E839" s="1">
        <v>0</v>
      </c>
      <c r="F839" s="1" t="s">
        <v>25</v>
      </c>
      <c r="G839" s="1" t="s">
        <v>349</v>
      </c>
      <c r="H839" s="2">
        <v>44299</v>
      </c>
      <c r="I839" s="2" t="s">
        <v>25</v>
      </c>
      <c r="J839" s="2">
        <v>44510</v>
      </c>
      <c r="K839" s="3"/>
      <c r="L839" s="3">
        <v>350000</v>
      </c>
      <c r="M839" s="3">
        <v>350000</v>
      </c>
      <c r="N839" s="1">
        <v>1</v>
      </c>
      <c r="O839" s="1">
        <v>0</v>
      </c>
      <c r="P839" s="1">
        <v>1</v>
      </c>
      <c r="Q839" s="3"/>
      <c r="R839" s="3"/>
      <c r="S839" s="3">
        <v>350000</v>
      </c>
      <c r="T839" s="1">
        <v>0.57808219999999999</v>
      </c>
      <c r="U839" s="3"/>
      <c r="V839" s="3"/>
      <c r="X839" s="1">
        <v>350000</v>
      </c>
      <c r="Y839" s="22">
        <v>0.57808219999999999</v>
      </c>
      <c r="Z839" s="4">
        <f>Table1[[#This Row],[totalTimeKept]]*$AD$3</f>
        <v>8671.2330000000002</v>
      </c>
      <c r="AA839" s="4">
        <f>Y839-Z839</f>
        <v>-8670.6549178000005</v>
      </c>
    </row>
    <row r="840" spans="1:27" x14ac:dyDescent="0.3">
      <c r="A840" s="1">
        <v>10983086</v>
      </c>
      <c r="B840" s="1" t="s">
        <v>1321</v>
      </c>
      <c r="C840" s="1" t="s">
        <v>199</v>
      </c>
      <c r="D840" s="1">
        <v>7732950</v>
      </c>
      <c r="E840" s="1">
        <v>0</v>
      </c>
      <c r="F840" s="1" t="s">
        <v>25</v>
      </c>
      <c r="G840" s="1" t="s">
        <v>46</v>
      </c>
      <c r="H840" s="2">
        <v>44309</v>
      </c>
      <c r="I840" s="2" t="s">
        <v>25</v>
      </c>
      <c r="J840" s="2">
        <v>44572</v>
      </c>
      <c r="K840" s="3"/>
      <c r="L840" s="3">
        <v>15000</v>
      </c>
      <c r="M840" s="3">
        <v>15000</v>
      </c>
      <c r="N840" s="1">
        <v>1</v>
      </c>
      <c r="O840" s="1">
        <v>0</v>
      </c>
      <c r="P840" s="1">
        <v>1</v>
      </c>
      <c r="Q840" s="3"/>
      <c r="R840" s="3"/>
      <c r="S840" s="3">
        <v>15000</v>
      </c>
      <c r="T840" s="1">
        <v>0.72054799999999997</v>
      </c>
      <c r="U840" s="3"/>
      <c r="V840" s="3"/>
      <c r="X840" s="1">
        <v>15000</v>
      </c>
      <c r="Y840" s="22">
        <v>0.72054799999999997</v>
      </c>
      <c r="Z840" s="4">
        <f>Table1[[#This Row],[totalTimeKept]]*$AD$3</f>
        <v>10808.22</v>
      </c>
      <c r="AA840" s="4">
        <f>Y840-Z840</f>
        <v>-10807.499452</v>
      </c>
    </row>
    <row r="841" spans="1:27" x14ac:dyDescent="0.3">
      <c r="A841" s="1">
        <v>10983090</v>
      </c>
      <c r="B841" s="1" t="s">
        <v>1322</v>
      </c>
      <c r="C841" s="1" t="s">
        <v>173</v>
      </c>
      <c r="D841" s="1">
        <v>7488349</v>
      </c>
      <c r="E841" s="1">
        <v>0</v>
      </c>
      <c r="F841" s="1" t="s">
        <v>25</v>
      </c>
      <c r="G841" s="1" t="s">
        <v>349</v>
      </c>
      <c r="H841" s="2">
        <v>44315</v>
      </c>
      <c r="I841" s="2" t="s">
        <v>25</v>
      </c>
      <c r="J841" s="2">
        <v>44512</v>
      </c>
      <c r="K841" s="3"/>
      <c r="L841" s="3">
        <v>350000</v>
      </c>
      <c r="M841" s="3">
        <v>350000</v>
      </c>
      <c r="N841" s="1">
        <v>1</v>
      </c>
      <c r="O841" s="1">
        <v>0</v>
      </c>
      <c r="P841" s="1">
        <v>1</v>
      </c>
      <c r="Q841" s="3"/>
      <c r="R841" s="3"/>
      <c r="S841" s="3">
        <v>350000</v>
      </c>
      <c r="T841" s="1">
        <v>0.53972600000000004</v>
      </c>
      <c r="U841" s="3"/>
      <c r="V841" s="3"/>
      <c r="X841" s="1">
        <v>350000</v>
      </c>
      <c r="Y841" s="22">
        <v>0.53972600000000004</v>
      </c>
      <c r="Z841" s="4">
        <f>Table1[[#This Row],[totalTimeKept]]*$AD$3</f>
        <v>8095.89</v>
      </c>
      <c r="AA841" s="4">
        <f>Y841-Z841</f>
        <v>-8095.3502740000004</v>
      </c>
    </row>
    <row r="842" spans="1:27" x14ac:dyDescent="0.3">
      <c r="A842" s="1">
        <v>10985301</v>
      </c>
      <c r="B842" s="1" t="s">
        <v>1323</v>
      </c>
      <c r="C842" s="1" t="s">
        <v>1324</v>
      </c>
      <c r="D842" s="1">
        <v>9329440</v>
      </c>
      <c r="E842" s="1">
        <v>0</v>
      </c>
      <c r="F842" s="1" t="s">
        <v>46</v>
      </c>
      <c r="G842" s="1" t="s">
        <v>25</v>
      </c>
      <c r="H842" s="2">
        <v>44298</v>
      </c>
      <c r="I842" s="2">
        <v>44820</v>
      </c>
      <c r="J842" s="1" t="s">
        <v>25</v>
      </c>
      <c r="K842" s="3">
        <v>450000</v>
      </c>
      <c r="L842" s="3"/>
      <c r="M842" s="3">
        <v>-450000</v>
      </c>
      <c r="N842" s="1">
        <v>0</v>
      </c>
      <c r="O842" s="1">
        <v>1</v>
      </c>
      <c r="P842" s="1">
        <v>0</v>
      </c>
      <c r="Q842" s="3"/>
      <c r="R842" s="3"/>
      <c r="S842" s="3">
        <v>-450000</v>
      </c>
      <c r="T842" s="1">
        <v>2.424658</v>
      </c>
      <c r="U842" s="3"/>
      <c r="V842" s="3"/>
      <c r="X842" s="1">
        <v>-450000</v>
      </c>
      <c r="Y842" s="22">
        <v>2.424658</v>
      </c>
      <c r="Z842" s="4">
        <f>Table1[[#This Row],[totalTimeKept]]*$AD$3</f>
        <v>36369.870000000003</v>
      </c>
      <c r="AA842" s="4">
        <f>Y842-Z842</f>
        <v>-36367.445341999999</v>
      </c>
    </row>
    <row r="843" spans="1:27" x14ac:dyDescent="0.3">
      <c r="A843" s="1">
        <v>10985633</v>
      </c>
      <c r="B843" s="1" t="s">
        <v>1325</v>
      </c>
      <c r="C843" s="1" t="s">
        <v>225</v>
      </c>
      <c r="D843" s="1">
        <v>7996279</v>
      </c>
      <c r="E843" s="1">
        <v>0</v>
      </c>
      <c r="F843" s="1" t="s">
        <v>25</v>
      </c>
      <c r="G843" s="1" t="s">
        <v>46</v>
      </c>
      <c r="H843" s="2">
        <v>44293</v>
      </c>
      <c r="I843" s="2" t="s">
        <v>25</v>
      </c>
      <c r="J843" s="2">
        <v>44818</v>
      </c>
      <c r="K843" s="3"/>
      <c r="L843" s="3">
        <v>200000</v>
      </c>
      <c r="M843" s="3">
        <v>200000</v>
      </c>
      <c r="N843" s="1">
        <v>1</v>
      </c>
      <c r="O843" s="1">
        <v>0</v>
      </c>
      <c r="P843" s="1">
        <v>1</v>
      </c>
      <c r="Q843" s="3"/>
      <c r="R843" s="3"/>
      <c r="S843" s="3">
        <v>200000</v>
      </c>
      <c r="T843" s="1">
        <v>1.438356</v>
      </c>
      <c r="U843" s="3"/>
      <c r="V843" s="3"/>
      <c r="X843" s="1">
        <v>200000</v>
      </c>
      <c r="Y843" s="22">
        <v>1.438356</v>
      </c>
      <c r="Z843" s="4">
        <f>Table1[[#This Row],[totalTimeKept]]*$AD$3</f>
        <v>21575.34</v>
      </c>
      <c r="AA843" s="4">
        <f>Y843-Z843</f>
        <v>-21573.901644000001</v>
      </c>
    </row>
    <row r="844" spans="1:27" x14ac:dyDescent="0.3">
      <c r="A844" s="1">
        <v>10987221</v>
      </c>
      <c r="B844" s="1" t="s">
        <v>1326</v>
      </c>
      <c r="C844" s="1" t="s">
        <v>1327</v>
      </c>
      <c r="D844" s="1">
        <v>7763980</v>
      </c>
      <c r="E844" s="1">
        <v>146841</v>
      </c>
      <c r="F844" s="1" t="s">
        <v>46</v>
      </c>
      <c r="G844" s="1" t="s">
        <v>25</v>
      </c>
      <c r="H844" s="2">
        <v>44268</v>
      </c>
      <c r="I844" s="2">
        <v>44820</v>
      </c>
      <c r="J844" s="2" t="s">
        <v>25</v>
      </c>
      <c r="K844" s="3">
        <v>400000</v>
      </c>
      <c r="L844" s="3"/>
      <c r="M844" s="3">
        <v>-400000</v>
      </c>
      <c r="N844" s="1">
        <v>0</v>
      </c>
      <c r="O844" s="1">
        <v>1</v>
      </c>
      <c r="P844" s="1">
        <v>0</v>
      </c>
      <c r="Q844" s="3"/>
      <c r="R844" s="3"/>
      <c r="S844" s="3">
        <v>-253159</v>
      </c>
      <c r="T844" s="1">
        <v>2.424658</v>
      </c>
      <c r="U844" s="3"/>
      <c r="V844" s="3"/>
      <c r="X844" s="1">
        <v>-253159</v>
      </c>
      <c r="Y844" s="22">
        <v>2.424658</v>
      </c>
      <c r="Z844" s="4">
        <f>Table1[[#This Row],[totalTimeKept]]*$AD$3</f>
        <v>36369.870000000003</v>
      </c>
      <c r="AA844" s="4">
        <f>Y844-Z844</f>
        <v>-36367.445341999999</v>
      </c>
    </row>
    <row r="845" spans="1:27" x14ac:dyDescent="0.3">
      <c r="A845" s="1">
        <v>10988098</v>
      </c>
      <c r="B845" s="1" t="s">
        <v>1328</v>
      </c>
      <c r="C845" s="1" t="s">
        <v>422</v>
      </c>
      <c r="D845" s="1">
        <v>9096510</v>
      </c>
      <c r="E845" s="1">
        <v>0</v>
      </c>
      <c r="F845" s="1" t="s">
        <v>25</v>
      </c>
      <c r="G845" s="1" t="s">
        <v>46</v>
      </c>
      <c r="H845" s="2">
        <v>44319</v>
      </c>
      <c r="I845" s="2" t="s">
        <v>25</v>
      </c>
      <c r="J845" s="2">
        <v>44820</v>
      </c>
      <c r="K845" s="3"/>
      <c r="L845" s="3">
        <v>360000</v>
      </c>
      <c r="M845" s="3">
        <v>360000</v>
      </c>
      <c r="N845" s="1">
        <v>1</v>
      </c>
      <c r="O845" s="1">
        <v>0</v>
      </c>
      <c r="P845" s="1">
        <v>1</v>
      </c>
      <c r="Q845" s="3"/>
      <c r="R845" s="3"/>
      <c r="S845" s="3">
        <v>360000</v>
      </c>
      <c r="T845" s="1">
        <v>1.372603</v>
      </c>
      <c r="U845" s="3"/>
      <c r="V845" s="3"/>
      <c r="X845" s="1">
        <v>360000</v>
      </c>
      <c r="Y845" s="22">
        <v>1.372603</v>
      </c>
      <c r="Z845" s="4">
        <f>Table1[[#This Row],[totalTimeKept]]*$AD$3</f>
        <v>20589.045000000002</v>
      </c>
      <c r="AA845" s="4">
        <f>Y845-Z845</f>
        <v>-20587.672397000002</v>
      </c>
    </row>
    <row r="846" spans="1:27" x14ac:dyDescent="0.3">
      <c r="A846" s="1">
        <v>10988101</v>
      </c>
      <c r="B846" s="1" t="s">
        <v>1329</v>
      </c>
      <c r="C846" s="1" t="s">
        <v>612</v>
      </c>
      <c r="D846" s="1">
        <v>6559714</v>
      </c>
      <c r="E846" s="1">
        <v>0</v>
      </c>
      <c r="F846" s="1" t="s">
        <v>25</v>
      </c>
      <c r="G846" s="1" t="s">
        <v>46</v>
      </c>
      <c r="H846" s="2">
        <v>44321</v>
      </c>
      <c r="I846" s="2" t="s">
        <v>25</v>
      </c>
      <c r="J846" s="2">
        <v>44860</v>
      </c>
      <c r="K846" s="3"/>
      <c r="L846" s="3">
        <v>30000</v>
      </c>
      <c r="M846" s="3">
        <v>30000</v>
      </c>
      <c r="N846" s="1">
        <v>1</v>
      </c>
      <c r="O846" s="1">
        <v>0</v>
      </c>
      <c r="P846" s="1">
        <v>1</v>
      </c>
      <c r="Q846" s="3"/>
      <c r="R846" s="3"/>
      <c r="S846" s="3">
        <v>30000</v>
      </c>
      <c r="T846" s="1">
        <v>1.476712</v>
      </c>
      <c r="U846" s="3"/>
      <c r="V846" s="3"/>
      <c r="X846" s="1">
        <v>30000</v>
      </c>
      <c r="Y846" s="22">
        <v>1.476712</v>
      </c>
      <c r="Z846" s="4">
        <f>Table1[[#This Row],[totalTimeKept]]*$AD$3</f>
        <v>22150.68</v>
      </c>
      <c r="AA846" s="4">
        <f>Y846-Z846</f>
        <v>-22149.203288000001</v>
      </c>
    </row>
    <row r="847" spans="1:27" x14ac:dyDescent="0.3">
      <c r="A847" s="1">
        <v>10988111</v>
      </c>
      <c r="B847" s="1" t="s">
        <v>1330</v>
      </c>
      <c r="C847" s="1" t="s">
        <v>1331</v>
      </c>
      <c r="D847" s="1">
        <v>9505708</v>
      </c>
      <c r="E847" s="1">
        <v>950</v>
      </c>
      <c r="F847" s="1" t="s">
        <v>46</v>
      </c>
      <c r="G847" s="1" t="s">
        <v>25</v>
      </c>
      <c r="H847" s="2">
        <v>44315</v>
      </c>
      <c r="I847" s="2">
        <v>44821</v>
      </c>
      <c r="J847" s="2" t="s">
        <v>25</v>
      </c>
      <c r="K847" s="3">
        <v>250000</v>
      </c>
      <c r="L847" s="3"/>
      <c r="M847" s="3">
        <v>-250000</v>
      </c>
      <c r="N847" s="1">
        <v>0</v>
      </c>
      <c r="O847" s="1">
        <v>1</v>
      </c>
      <c r="P847" s="1">
        <v>0</v>
      </c>
      <c r="Q847" s="3"/>
      <c r="R847" s="3"/>
      <c r="S847" s="3">
        <v>-249050</v>
      </c>
      <c r="T847" s="1">
        <v>2.4219179999999998</v>
      </c>
      <c r="U847" s="3"/>
      <c r="V847" s="3"/>
      <c r="X847" s="1">
        <v>-249050</v>
      </c>
      <c r="Y847" s="22">
        <v>2.4219179999999998</v>
      </c>
      <c r="Z847" s="4">
        <f>Table1[[#This Row],[totalTimeKept]]*$AD$3</f>
        <v>36328.769999999997</v>
      </c>
      <c r="AA847" s="4">
        <f>Y847-Z847</f>
        <v>-36326.348081999997</v>
      </c>
    </row>
    <row r="848" spans="1:27" x14ac:dyDescent="0.3">
      <c r="A848" s="1">
        <v>10988113</v>
      </c>
      <c r="B848" s="1" t="s">
        <v>1332</v>
      </c>
      <c r="C848" s="1" t="s">
        <v>161</v>
      </c>
      <c r="D848" s="1">
        <v>7443895</v>
      </c>
      <c r="E848" s="1">
        <v>0</v>
      </c>
      <c r="F848" s="1" t="s">
        <v>25</v>
      </c>
      <c r="G848" s="1" t="s">
        <v>46</v>
      </c>
      <c r="H848" s="2">
        <v>44309</v>
      </c>
      <c r="I848" s="2" t="s">
        <v>25</v>
      </c>
      <c r="J848" s="2">
        <v>44859</v>
      </c>
      <c r="K848" s="3"/>
      <c r="L848" s="3">
        <v>92000</v>
      </c>
      <c r="M848" s="3">
        <v>92000</v>
      </c>
      <c r="N848" s="1">
        <v>1</v>
      </c>
      <c r="O848" s="1">
        <v>0</v>
      </c>
      <c r="P848" s="1">
        <v>1</v>
      </c>
      <c r="Q848" s="3"/>
      <c r="R848" s="3"/>
      <c r="S848" s="3">
        <v>92000</v>
      </c>
      <c r="T848" s="1">
        <v>1.5068490000000001</v>
      </c>
      <c r="U848" s="3"/>
      <c r="V848" s="3"/>
      <c r="X848" s="1">
        <v>92000</v>
      </c>
      <c r="Y848" s="22">
        <v>1.5068490000000001</v>
      </c>
      <c r="Z848" s="4">
        <f>Table1[[#This Row],[totalTimeKept]]*$AD$3</f>
        <v>22602.735000000001</v>
      </c>
      <c r="AA848" s="4">
        <f>Y848-Z848</f>
        <v>-22601.228150999999</v>
      </c>
    </row>
    <row r="849" spans="1:27" x14ac:dyDescent="0.3">
      <c r="A849" s="1">
        <v>10988128</v>
      </c>
      <c r="B849" s="1" t="s">
        <v>1333</v>
      </c>
      <c r="C849" s="1" t="s">
        <v>874</v>
      </c>
      <c r="D849" s="1">
        <v>7758346</v>
      </c>
      <c r="E849" s="1">
        <v>0</v>
      </c>
      <c r="F849" s="1" t="s">
        <v>25</v>
      </c>
      <c r="G849" s="1" t="s">
        <v>46</v>
      </c>
      <c r="H849" s="2">
        <v>44332</v>
      </c>
      <c r="I849" s="2" t="s">
        <v>25</v>
      </c>
      <c r="J849" s="2">
        <v>44822</v>
      </c>
      <c r="K849" s="3"/>
      <c r="L849" s="3">
        <v>90000</v>
      </c>
      <c r="M849" s="3">
        <v>90000</v>
      </c>
      <c r="N849" s="1">
        <v>1</v>
      </c>
      <c r="O849" s="1">
        <v>0</v>
      </c>
      <c r="P849" s="1">
        <v>1</v>
      </c>
      <c r="Q849" s="3"/>
      <c r="R849" s="3"/>
      <c r="S849" s="3">
        <v>90000</v>
      </c>
      <c r="T849" s="1">
        <v>1.3424659999999999</v>
      </c>
      <c r="U849" s="3"/>
      <c r="V849" s="3"/>
      <c r="X849" s="1">
        <v>90000</v>
      </c>
      <c r="Y849" s="22">
        <v>1.3424659999999999</v>
      </c>
      <c r="Z849" s="4">
        <f>Table1[[#This Row],[totalTimeKept]]*$AD$3</f>
        <v>20136.989999999998</v>
      </c>
      <c r="AA849" s="4">
        <f>Y849-Z849</f>
        <v>-20135.647534</v>
      </c>
    </row>
    <row r="850" spans="1:27" x14ac:dyDescent="0.3">
      <c r="A850" s="1">
        <v>10988129</v>
      </c>
      <c r="B850" s="1" t="s">
        <v>1334</v>
      </c>
      <c r="C850" s="1" t="s">
        <v>938</v>
      </c>
      <c r="D850" s="1">
        <v>8076646</v>
      </c>
      <c r="E850" s="1">
        <v>0</v>
      </c>
      <c r="F850" s="1" t="s">
        <v>25</v>
      </c>
      <c r="G850" s="1" t="s">
        <v>46</v>
      </c>
      <c r="H850" s="2">
        <v>44334</v>
      </c>
      <c r="I850" s="2" t="s">
        <v>25</v>
      </c>
      <c r="J850" s="2">
        <v>44818</v>
      </c>
      <c r="K850" s="3"/>
      <c r="L850" s="3">
        <v>125000</v>
      </c>
      <c r="M850" s="3">
        <v>125000</v>
      </c>
      <c r="N850" s="1">
        <v>1</v>
      </c>
      <c r="O850" s="1">
        <v>0</v>
      </c>
      <c r="P850" s="1">
        <v>1</v>
      </c>
      <c r="Q850" s="3"/>
      <c r="R850" s="3"/>
      <c r="S850" s="3">
        <v>125000</v>
      </c>
      <c r="T850" s="1">
        <v>1.3260270000000001</v>
      </c>
      <c r="U850" s="3"/>
      <c r="V850" s="3"/>
      <c r="X850" s="1">
        <v>125000</v>
      </c>
      <c r="Y850" s="22">
        <v>1.3260270000000001</v>
      </c>
      <c r="Z850" s="4">
        <f>Table1[[#This Row],[totalTimeKept]]*$AD$3</f>
        <v>19890.405000000002</v>
      </c>
      <c r="AA850" s="4">
        <f>Y850-Z850</f>
        <v>-19889.078973000003</v>
      </c>
    </row>
    <row r="851" spans="1:27" x14ac:dyDescent="0.3">
      <c r="A851" s="1">
        <v>10988131</v>
      </c>
      <c r="B851" s="1" t="s">
        <v>1335</v>
      </c>
      <c r="C851" s="1" t="s">
        <v>123</v>
      </c>
      <c r="D851" s="1">
        <v>6857532</v>
      </c>
      <c r="E851" s="1">
        <v>10250</v>
      </c>
      <c r="F851" s="1" t="s">
        <v>25</v>
      </c>
      <c r="G851" s="1" t="s">
        <v>25</v>
      </c>
      <c r="H851" s="2">
        <v>44336</v>
      </c>
      <c r="I851" s="2" t="s">
        <v>25</v>
      </c>
      <c r="J851" s="1" t="s">
        <v>25</v>
      </c>
      <c r="K851" s="3"/>
      <c r="L851" s="3"/>
      <c r="M851" s="3">
        <v>0</v>
      </c>
      <c r="N851" s="1">
        <v>1</v>
      </c>
      <c r="P851" s="1">
        <v>0</v>
      </c>
      <c r="Q851" s="3">
        <v>60000</v>
      </c>
      <c r="R851" s="3"/>
      <c r="S851" s="3">
        <v>-49750</v>
      </c>
      <c r="T851" s="1">
        <v>3.7506849999999998</v>
      </c>
      <c r="U851" s="3"/>
      <c r="V851" s="3"/>
      <c r="X851" s="1">
        <v>-49750</v>
      </c>
      <c r="Y851" s="22">
        <v>3.7506849999999998</v>
      </c>
      <c r="Z851" s="4">
        <f>Table1[[#This Row],[totalTimeKept]]*$AD$3</f>
        <v>56260.274999999994</v>
      </c>
      <c r="AA851" s="4">
        <f>Y851-Z851</f>
        <v>-56256.524314999995</v>
      </c>
    </row>
    <row r="852" spans="1:27" x14ac:dyDescent="0.3">
      <c r="A852" s="1">
        <v>10989040</v>
      </c>
      <c r="B852" s="1" t="s">
        <v>1336</v>
      </c>
      <c r="C852" s="1" t="s">
        <v>1337</v>
      </c>
      <c r="D852" s="1">
        <v>7700724</v>
      </c>
      <c r="E852" s="1">
        <v>24150</v>
      </c>
      <c r="F852" s="1" t="s">
        <v>46</v>
      </c>
      <c r="G852" s="1" t="s">
        <v>25</v>
      </c>
      <c r="H852" s="2">
        <v>44349</v>
      </c>
      <c r="I852" s="2">
        <v>44821</v>
      </c>
      <c r="J852" s="1" t="s">
        <v>25</v>
      </c>
      <c r="K852" s="3">
        <v>125000</v>
      </c>
      <c r="L852" s="3"/>
      <c r="M852" s="3">
        <v>-125000</v>
      </c>
      <c r="N852" s="1">
        <v>0</v>
      </c>
      <c r="O852" s="1">
        <v>1</v>
      </c>
      <c r="P852" s="1">
        <v>0</v>
      </c>
      <c r="Q852" s="3"/>
      <c r="R852" s="3"/>
      <c r="S852" s="3">
        <v>-100850</v>
      </c>
      <c r="T852" s="1">
        <v>2.4219179999999998</v>
      </c>
      <c r="U852" s="3"/>
      <c r="V852" s="3"/>
      <c r="X852" s="1">
        <v>-100850</v>
      </c>
      <c r="Y852" s="22">
        <v>2.4219179999999998</v>
      </c>
      <c r="Z852" s="4">
        <f>Table1[[#This Row],[totalTimeKept]]*$AD$3</f>
        <v>36328.769999999997</v>
      </c>
      <c r="AA852" s="4">
        <f>Y852-Z852</f>
        <v>-36326.348081999997</v>
      </c>
    </row>
    <row r="853" spans="1:27" x14ac:dyDescent="0.3">
      <c r="A853" s="1">
        <v>10996423</v>
      </c>
      <c r="B853" s="1" t="s">
        <v>1338</v>
      </c>
      <c r="C853" s="1" t="s">
        <v>1019</v>
      </c>
      <c r="D853" s="1">
        <v>8587309</v>
      </c>
      <c r="E853" s="1">
        <v>0</v>
      </c>
      <c r="F853" s="1" t="s">
        <v>25</v>
      </c>
      <c r="G853" s="1" t="s">
        <v>349</v>
      </c>
      <c r="H853" s="2">
        <v>44311</v>
      </c>
      <c r="I853" s="2" t="s">
        <v>25</v>
      </c>
      <c r="J853" s="2">
        <v>44515</v>
      </c>
      <c r="K853" s="3"/>
      <c r="L853" s="3">
        <v>29000</v>
      </c>
      <c r="M853" s="3">
        <v>29000</v>
      </c>
      <c r="N853" s="1">
        <v>1</v>
      </c>
      <c r="O853" s="1">
        <v>0</v>
      </c>
      <c r="P853" s="1">
        <v>1</v>
      </c>
      <c r="Q853" s="3"/>
      <c r="R853" s="3"/>
      <c r="S853" s="3">
        <v>29000</v>
      </c>
      <c r="T853" s="1">
        <v>0.55890410000000001</v>
      </c>
      <c r="U853" s="3"/>
      <c r="V853" s="3"/>
      <c r="X853" s="1">
        <v>29000</v>
      </c>
      <c r="Y853" s="22">
        <v>0.55890410000000001</v>
      </c>
      <c r="Z853" s="4">
        <f>Table1[[#This Row],[totalTimeKept]]*$AD$3</f>
        <v>8383.5614999999998</v>
      </c>
      <c r="AA853" s="4">
        <f>Y853-Z853</f>
        <v>-8383.0025958999995</v>
      </c>
    </row>
    <row r="854" spans="1:27" x14ac:dyDescent="0.3">
      <c r="A854" s="1">
        <v>10997630</v>
      </c>
      <c r="B854" s="1" t="s">
        <v>1339</v>
      </c>
      <c r="C854" s="1" t="s">
        <v>1340</v>
      </c>
      <c r="D854" s="1">
        <v>9125117</v>
      </c>
      <c r="E854" s="1">
        <v>23600</v>
      </c>
      <c r="F854" s="1" t="s">
        <v>46</v>
      </c>
      <c r="G854" s="1" t="s">
        <v>25</v>
      </c>
      <c r="H854" s="2">
        <v>44283</v>
      </c>
      <c r="I854" s="2">
        <v>44818</v>
      </c>
      <c r="J854" s="1" t="s">
        <v>25</v>
      </c>
      <c r="K854" s="3">
        <v>1050000</v>
      </c>
      <c r="L854" s="3"/>
      <c r="M854" s="3">
        <v>-1050000</v>
      </c>
      <c r="N854" s="1">
        <v>0</v>
      </c>
      <c r="O854" s="1">
        <v>1</v>
      </c>
      <c r="P854" s="1">
        <v>0</v>
      </c>
      <c r="Q854" s="3"/>
      <c r="R854" s="3"/>
      <c r="S854" s="3">
        <v>-1026400</v>
      </c>
      <c r="T854" s="1">
        <v>2.4301370000000002</v>
      </c>
      <c r="U854" s="3"/>
      <c r="V854" s="3"/>
      <c r="X854" s="1">
        <v>-1026400</v>
      </c>
      <c r="Y854" s="22">
        <v>2.4301370000000002</v>
      </c>
      <c r="Z854" s="4">
        <f>Table1[[#This Row],[totalTimeKept]]*$AD$3</f>
        <v>36452.055</v>
      </c>
      <c r="AA854" s="4">
        <f>Y854-Z854</f>
        <v>-36449.624862999997</v>
      </c>
    </row>
    <row r="855" spans="1:27" x14ac:dyDescent="0.3">
      <c r="A855" s="1">
        <v>11000329</v>
      </c>
      <c r="B855" s="1" t="s">
        <v>1341</v>
      </c>
      <c r="C855" s="1" t="s">
        <v>1342</v>
      </c>
      <c r="D855" s="1">
        <v>9501734</v>
      </c>
      <c r="E855" s="1">
        <v>120300</v>
      </c>
      <c r="F855" s="1" t="s">
        <v>46</v>
      </c>
      <c r="G855" s="1" t="s">
        <v>25</v>
      </c>
      <c r="H855" s="2">
        <v>44340</v>
      </c>
      <c r="I855" s="2">
        <v>44816</v>
      </c>
      <c r="J855" s="1" t="s">
        <v>25</v>
      </c>
      <c r="K855" s="3">
        <v>675000</v>
      </c>
      <c r="L855" s="3"/>
      <c r="M855" s="3">
        <v>-675000</v>
      </c>
      <c r="N855" s="1">
        <v>0</v>
      </c>
      <c r="O855" s="1">
        <v>1</v>
      </c>
      <c r="P855" s="1">
        <v>0</v>
      </c>
      <c r="Q855" s="3"/>
      <c r="R855" s="3"/>
      <c r="S855" s="3">
        <v>-554700</v>
      </c>
      <c r="T855" s="1">
        <v>2.435616</v>
      </c>
      <c r="U855" s="3"/>
      <c r="V855" s="3"/>
      <c r="X855" s="1">
        <v>-554700</v>
      </c>
      <c r="Y855" s="22">
        <v>2.435616</v>
      </c>
      <c r="Z855" s="4">
        <f>Table1[[#This Row],[totalTimeKept]]*$AD$3</f>
        <v>36534.239999999998</v>
      </c>
      <c r="AA855" s="4">
        <f>Y855-Z855</f>
        <v>-36531.804383999995</v>
      </c>
    </row>
    <row r="856" spans="1:27" x14ac:dyDescent="0.3">
      <c r="A856" s="1">
        <v>11001774</v>
      </c>
      <c r="B856" s="1" t="s">
        <v>1343</v>
      </c>
      <c r="C856" s="1" t="s">
        <v>804</v>
      </c>
      <c r="D856" s="1">
        <v>10100527</v>
      </c>
      <c r="E856" s="1">
        <v>0</v>
      </c>
      <c r="F856" s="1" t="s">
        <v>25</v>
      </c>
      <c r="G856" s="1" t="s">
        <v>46</v>
      </c>
      <c r="H856" s="2">
        <v>44296</v>
      </c>
      <c r="I856" s="2" t="s">
        <v>25</v>
      </c>
      <c r="J856" s="2">
        <v>44859</v>
      </c>
      <c r="K856" s="3"/>
      <c r="L856" s="3">
        <v>65000</v>
      </c>
      <c r="M856" s="3">
        <v>65000</v>
      </c>
      <c r="N856" s="1">
        <v>1</v>
      </c>
      <c r="O856" s="1">
        <v>0</v>
      </c>
      <c r="P856" s="1">
        <v>1</v>
      </c>
      <c r="Q856" s="3"/>
      <c r="R856" s="3"/>
      <c r="S856" s="3">
        <v>65000</v>
      </c>
      <c r="T856" s="1">
        <v>1.5424659999999999</v>
      </c>
      <c r="U856" s="3"/>
      <c r="V856" s="3"/>
      <c r="X856" s="1">
        <v>65000</v>
      </c>
      <c r="Y856" s="22">
        <v>1.5424659999999999</v>
      </c>
      <c r="Z856" s="4">
        <f>Table1[[#This Row],[totalTimeKept]]*$AD$3</f>
        <v>23136.989999999998</v>
      </c>
      <c r="AA856" s="4">
        <f>Y856-Z856</f>
        <v>-23135.447533999999</v>
      </c>
    </row>
    <row r="857" spans="1:27" x14ac:dyDescent="0.3">
      <c r="A857" s="1">
        <v>11003603</v>
      </c>
      <c r="B857" s="1" t="s">
        <v>1344</v>
      </c>
      <c r="C857" s="1" t="s">
        <v>1345</v>
      </c>
      <c r="D857" s="1">
        <v>9130153</v>
      </c>
      <c r="E857" s="1">
        <v>0</v>
      </c>
      <c r="F857" s="1" t="s">
        <v>46</v>
      </c>
      <c r="G857" s="1" t="s">
        <v>25</v>
      </c>
      <c r="H857" s="2">
        <v>44328</v>
      </c>
      <c r="I857" s="2">
        <v>44861</v>
      </c>
      <c r="J857" s="1" t="s">
        <v>25</v>
      </c>
      <c r="K857" s="3">
        <v>300000</v>
      </c>
      <c r="L857" s="3"/>
      <c r="M857" s="3">
        <v>-300000</v>
      </c>
      <c r="N857" s="1">
        <v>0</v>
      </c>
      <c r="O857" s="1">
        <v>1</v>
      </c>
      <c r="P857" s="1">
        <v>0</v>
      </c>
      <c r="Q857" s="3"/>
      <c r="R857" s="3"/>
      <c r="S857" s="3">
        <v>-300000</v>
      </c>
      <c r="T857" s="1">
        <v>2.3123290000000001</v>
      </c>
      <c r="U857" s="3"/>
      <c r="V857" s="3"/>
      <c r="X857" s="1">
        <v>-300000</v>
      </c>
      <c r="Y857" s="22">
        <v>2.3123290000000001</v>
      </c>
      <c r="Z857" s="4">
        <f>Table1[[#This Row],[totalTimeKept]]*$AD$3</f>
        <v>34684.934999999998</v>
      </c>
      <c r="AA857" s="4">
        <f>Y857-Z857</f>
        <v>-34682.622670999997</v>
      </c>
    </row>
    <row r="858" spans="1:27" x14ac:dyDescent="0.3">
      <c r="A858" s="1">
        <v>11007304</v>
      </c>
      <c r="B858" s="1" t="s">
        <v>1346</v>
      </c>
      <c r="C858" s="1" t="s">
        <v>270</v>
      </c>
      <c r="D858" s="1">
        <v>8337012</v>
      </c>
      <c r="E858" s="1">
        <v>0</v>
      </c>
      <c r="F858" s="1" t="s">
        <v>25</v>
      </c>
      <c r="G858" s="1" t="s">
        <v>46</v>
      </c>
      <c r="H858" s="2">
        <v>44224</v>
      </c>
      <c r="I858" s="2" t="s">
        <v>25</v>
      </c>
      <c r="J858" s="2">
        <v>44754</v>
      </c>
      <c r="K858" s="3"/>
      <c r="L858" s="3">
        <v>15000</v>
      </c>
      <c r="M858" s="3">
        <v>15000</v>
      </c>
      <c r="N858" s="1">
        <v>1</v>
      </c>
      <c r="O858" s="1">
        <v>0</v>
      </c>
      <c r="P858" s="1">
        <v>1</v>
      </c>
      <c r="Q858" s="3"/>
      <c r="R858" s="3"/>
      <c r="S858" s="3">
        <v>15000</v>
      </c>
      <c r="T858" s="1">
        <v>1.4520550000000001</v>
      </c>
      <c r="U858" s="3"/>
      <c r="V858" s="3"/>
      <c r="X858" s="1">
        <v>15000</v>
      </c>
      <c r="Y858" s="22">
        <v>1.4520550000000001</v>
      </c>
      <c r="Z858" s="4">
        <f>Table1[[#This Row],[totalTimeKept]]*$AD$3</f>
        <v>21780.825000000001</v>
      </c>
      <c r="AA858" s="4">
        <f>Y858-Z858</f>
        <v>-21779.372944999999</v>
      </c>
    </row>
    <row r="859" spans="1:27" x14ac:dyDescent="0.3">
      <c r="A859" s="1">
        <v>11007308</v>
      </c>
      <c r="B859" s="1" t="s">
        <v>1347</v>
      </c>
      <c r="C859" s="1" t="s">
        <v>77</v>
      </c>
      <c r="D859" s="1">
        <v>5352492</v>
      </c>
      <c r="E859" s="1">
        <v>0</v>
      </c>
      <c r="F859" s="1" t="s">
        <v>25</v>
      </c>
      <c r="G859" s="1" t="s">
        <v>349</v>
      </c>
      <c r="H859" s="2">
        <v>44231</v>
      </c>
      <c r="I859" s="2" t="s">
        <v>25</v>
      </c>
      <c r="J859" s="2">
        <v>44513</v>
      </c>
      <c r="K859" s="3"/>
      <c r="L859" s="3">
        <v>60000</v>
      </c>
      <c r="M859" s="3">
        <v>60000</v>
      </c>
      <c r="N859" s="1">
        <v>1</v>
      </c>
      <c r="O859" s="1">
        <v>0</v>
      </c>
      <c r="P859" s="1">
        <v>1</v>
      </c>
      <c r="Q859" s="3"/>
      <c r="R859" s="3"/>
      <c r="S859" s="3">
        <v>60000</v>
      </c>
      <c r="T859" s="1">
        <v>0.77260269999999998</v>
      </c>
      <c r="U859" s="3"/>
      <c r="V859" s="3"/>
      <c r="X859" s="1">
        <v>60000</v>
      </c>
      <c r="Y859" s="22">
        <v>0.77260269999999998</v>
      </c>
      <c r="Z859" s="4">
        <f>Table1[[#This Row],[totalTimeKept]]*$AD$3</f>
        <v>11589.040499999999</v>
      </c>
      <c r="AA859" s="4">
        <f>Y859-Z859</f>
        <v>-11588.267897299998</v>
      </c>
    </row>
    <row r="860" spans="1:27" x14ac:dyDescent="0.3">
      <c r="A860" s="1">
        <v>11020028</v>
      </c>
      <c r="B860" s="1" t="s">
        <v>1348</v>
      </c>
      <c r="C860" s="1" t="s">
        <v>1349</v>
      </c>
      <c r="D860" s="1">
        <v>9540418</v>
      </c>
      <c r="E860" s="1">
        <v>109100</v>
      </c>
      <c r="F860" s="1" t="s">
        <v>46</v>
      </c>
      <c r="G860" s="1" t="s">
        <v>846</v>
      </c>
      <c r="H860" s="2">
        <v>44284</v>
      </c>
      <c r="I860" s="2">
        <v>44818</v>
      </c>
      <c r="J860" s="2">
        <v>45426</v>
      </c>
      <c r="K860" s="3">
        <v>400000</v>
      </c>
      <c r="L860" s="3">
        <v>80000</v>
      </c>
      <c r="M860" s="3">
        <v>-320000</v>
      </c>
      <c r="N860" s="1">
        <v>0</v>
      </c>
      <c r="O860" s="1">
        <v>1</v>
      </c>
      <c r="P860" s="1">
        <v>1</v>
      </c>
      <c r="Q860" s="3"/>
      <c r="R860" s="3"/>
      <c r="S860" s="3">
        <v>-210900</v>
      </c>
      <c r="T860" s="1">
        <v>1.665753</v>
      </c>
      <c r="U860" s="3"/>
      <c r="V860" s="3"/>
      <c r="X860" s="1">
        <v>-210900</v>
      </c>
      <c r="Y860" s="22">
        <v>1.665753</v>
      </c>
      <c r="Z860" s="4">
        <f>Table1[[#This Row],[totalTimeKept]]*$AD$3</f>
        <v>24986.295000000002</v>
      </c>
      <c r="AA860" s="4">
        <f>Y860-Z860</f>
        <v>-24984.629247000001</v>
      </c>
    </row>
    <row r="861" spans="1:27" x14ac:dyDescent="0.3">
      <c r="A861" s="1">
        <v>11087638</v>
      </c>
      <c r="B861" s="1" t="s">
        <v>1350</v>
      </c>
      <c r="C861" s="1" t="s">
        <v>1351</v>
      </c>
      <c r="D861" s="1">
        <v>9648737</v>
      </c>
      <c r="E861" s="1">
        <v>135600</v>
      </c>
      <c r="F861" s="1" t="s">
        <v>46</v>
      </c>
      <c r="G861" s="1" t="s">
        <v>25</v>
      </c>
      <c r="H861" s="2">
        <v>44583</v>
      </c>
      <c r="I861" s="2">
        <v>45184</v>
      </c>
      <c r="J861" s="2" t="s">
        <v>25</v>
      </c>
      <c r="K861" s="3">
        <v>210000</v>
      </c>
      <c r="L861" s="3"/>
      <c r="M861" s="3">
        <v>-210000</v>
      </c>
      <c r="N861" s="1">
        <v>0</v>
      </c>
      <c r="O861" s="1">
        <v>1</v>
      </c>
      <c r="P861" s="1">
        <v>0</v>
      </c>
      <c r="Q861" s="3"/>
      <c r="R861" s="3"/>
      <c r="S861" s="3">
        <v>-74400</v>
      </c>
      <c r="T861" s="1">
        <v>1.427397</v>
      </c>
      <c r="U861" s="3"/>
      <c r="V861" s="3"/>
      <c r="X861" s="1">
        <v>-74400</v>
      </c>
      <c r="Y861" s="22">
        <v>1.427397</v>
      </c>
      <c r="Z861" s="4">
        <f>Table1[[#This Row],[totalTimeKept]]*$AD$3</f>
        <v>21410.955000000002</v>
      </c>
      <c r="AA861" s="4">
        <f>Y861-Z861</f>
        <v>-21409.527603000002</v>
      </c>
    </row>
    <row r="862" spans="1:27" x14ac:dyDescent="0.3">
      <c r="A862" s="1">
        <v>11092621</v>
      </c>
      <c r="B862" s="1" t="s">
        <v>1352</v>
      </c>
      <c r="C862" s="1" t="s">
        <v>1353</v>
      </c>
      <c r="E862" s="1">
        <v>0</v>
      </c>
      <c r="F862" s="1" t="s">
        <v>46</v>
      </c>
      <c r="G862" s="1" t="s">
        <v>25</v>
      </c>
      <c r="H862" s="2">
        <v>44582</v>
      </c>
      <c r="I862" s="2">
        <v>45185</v>
      </c>
      <c r="J862" s="1" t="s">
        <v>25</v>
      </c>
      <c r="K862" s="3">
        <v>400000</v>
      </c>
      <c r="L862" s="3"/>
      <c r="M862" s="3">
        <v>-400000</v>
      </c>
      <c r="N862" s="1">
        <v>0</v>
      </c>
      <c r="O862" s="1">
        <v>1</v>
      </c>
      <c r="P862" s="1">
        <v>0</v>
      </c>
      <c r="Q862" s="3"/>
      <c r="R862" s="3"/>
      <c r="S862" s="3">
        <v>-400000</v>
      </c>
      <c r="T862" s="1">
        <v>1.424658</v>
      </c>
      <c r="U862" s="3"/>
      <c r="V862" s="3"/>
      <c r="X862" s="1">
        <v>-400000</v>
      </c>
      <c r="Y862" s="22">
        <v>1.424658</v>
      </c>
      <c r="Z862" s="4">
        <f>Table1[[#This Row],[totalTimeKept]]*$AD$3</f>
        <v>21369.87</v>
      </c>
      <c r="AA862" s="4">
        <f>Y862-Z862</f>
        <v>-21368.445341999999</v>
      </c>
    </row>
    <row r="863" spans="1:27" x14ac:dyDescent="0.3">
      <c r="A863" s="1">
        <v>11095786</v>
      </c>
      <c r="B863" s="1" t="s">
        <v>1354</v>
      </c>
      <c r="C863" s="1" t="s">
        <v>1355</v>
      </c>
      <c r="D863" s="1">
        <v>9480541</v>
      </c>
      <c r="E863" s="1">
        <v>27825</v>
      </c>
      <c r="F863" s="1" t="s">
        <v>46</v>
      </c>
      <c r="G863" s="1" t="s">
        <v>25</v>
      </c>
      <c r="H863" s="2">
        <v>44600</v>
      </c>
      <c r="I863" s="2">
        <v>45184</v>
      </c>
      <c r="J863" s="1" t="s">
        <v>25</v>
      </c>
      <c r="K863" s="3">
        <v>100000</v>
      </c>
      <c r="L863" s="3"/>
      <c r="M863" s="3">
        <v>-100000</v>
      </c>
      <c r="N863" s="1">
        <v>0</v>
      </c>
      <c r="O863" s="1">
        <v>1</v>
      </c>
      <c r="P863" s="1">
        <v>0</v>
      </c>
      <c r="Q863" s="3"/>
      <c r="R863" s="3"/>
      <c r="S863" s="3">
        <v>-72175</v>
      </c>
      <c r="T863" s="1">
        <v>1.427397</v>
      </c>
      <c r="U863" s="3"/>
      <c r="V863" s="3"/>
      <c r="X863" s="1">
        <v>-72175</v>
      </c>
      <c r="Y863" s="22">
        <v>1.427397</v>
      </c>
      <c r="Z863" s="4">
        <f>Table1[[#This Row],[totalTimeKept]]*$AD$3</f>
        <v>21410.955000000002</v>
      </c>
      <c r="AA863" s="4">
        <f>Y863-Z863</f>
        <v>-21409.527603000002</v>
      </c>
    </row>
    <row r="864" spans="1:27" x14ac:dyDescent="0.3">
      <c r="A864" s="1">
        <v>11099359</v>
      </c>
      <c r="B864" s="1" t="s">
        <v>1356</v>
      </c>
      <c r="C864" s="1" t="s">
        <v>370</v>
      </c>
      <c r="D864" s="1">
        <v>8858818</v>
      </c>
      <c r="E864" s="1">
        <v>0</v>
      </c>
      <c r="F864" s="1" t="s">
        <v>25</v>
      </c>
      <c r="G864" s="1" t="s">
        <v>349</v>
      </c>
      <c r="H864" s="2">
        <v>44595</v>
      </c>
      <c r="I864" s="2" t="s">
        <v>25</v>
      </c>
      <c r="J864" s="2">
        <v>44876</v>
      </c>
      <c r="K864" s="3"/>
      <c r="L864" s="3">
        <v>160000</v>
      </c>
      <c r="M864" s="3">
        <v>160000</v>
      </c>
      <c r="N864" s="1">
        <v>1</v>
      </c>
      <c r="O864" s="1">
        <v>0</v>
      </c>
      <c r="P864" s="1">
        <v>1</v>
      </c>
      <c r="Q864" s="3"/>
      <c r="R864" s="3"/>
      <c r="S864" s="3">
        <v>160000</v>
      </c>
      <c r="T864" s="1">
        <v>0.76986299999999996</v>
      </c>
      <c r="U864" s="3"/>
      <c r="V864" s="3"/>
      <c r="X864" s="1">
        <v>160000</v>
      </c>
      <c r="Y864" s="22">
        <v>0.76986299999999996</v>
      </c>
      <c r="Z864" s="4">
        <f>Table1[[#This Row],[totalTimeKept]]*$AD$3</f>
        <v>11547.945</v>
      </c>
      <c r="AA864" s="4">
        <f>Y864-Z864</f>
        <v>-11547.175137</v>
      </c>
    </row>
    <row r="865" spans="1:27" x14ac:dyDescent="0.3">
      <c r="A865" s="1">
        <v>11099360</v>
      </c>
      <c r="B865" s="1" t="s">
        <v>1357</v>
      </c>
      <c r="C865" s="1" t="s">
        <v>234</v>
      </c>
      <c r="D865" s="1">
        <v>8037393</v>
      </c>
      <c r="E865" s="1">
        <v>0</v>
      </c>
      <c r="F865" s="1" t="s">
        <v>25</v>
      </c>
      <c r="G865" s="1" t="s">
        <v>46</v>
      </c>
      <c r="H865" s="2">
        <v>44598</v>
      </c>
      <c r="I865" s="2" t="s">
        <v>25</v>
      </c>
      <c r="J865" s="2">
        <v>45146</v>
      </c>
      <c r="K865" s="3"/>
      <c r="L865" s="3">
        <v>800000</v>
      </c>
      <c r="M865" s="3">
        <v>800000</v>
      </c>
      <c r="N865" s="1">
        <v>1</v>
      </c>
      <c r="O865" s="1">
        <v>0</v>
      </c>
      <c r="P865" s="1">
        <v>1</v>
      </c>
      <c r="Q865" s="3"/>
      <c r="R865" s="3"/>
      <c r="S865" s="3">
        <v>800000</v>
      </c>
      <c r="T865" s="1">
        <v>1.5013700000000001</v>
      </c>
      <c r="U865" s="3"/>
      <c r="V865" s="3"/>
      <c r="X865" s="1">
        <v>800000</v>
      </c>
      <c r="Y865" s="22">
        <v>1.5013700000000001</v>
      </c>
      <c r="Z865" s="4">
        <f>Table1[[#This Row],[totalTimeKept]]*$AD$3</f>
        <v>22520.550000000003</v>
      </c>
      <c r="AA865" s="4">
        <f>Y865-Z865</f>
        <v>-22519.048630000001</v>
      </c>
    </row>
    <row r="866" spans="1:27" x14ac:dyDescent="0.3">
      <c r="A866" s="1">
        <v>11099362</v>
      </c>
      <c r="B866" s="1" t="s">
        <v>1358</v>
      </c>
      <c r="C866" s="1" t="s">
        <v>1226</v>
      </c>
      <c r="D866" s="1">
        <v>7516145</v>
      </c>
      <c r="E866" s="1">
        <v>0</v>
      </c>
      <c r="F866" s="1" t="s">
        <v>25</v>
      </c>
      <c r="G866" s="1" t="s">
        <v>46</v>
      </c>
      <c r="H866" s="2">
        <v>44602</v>
      </c>
      <c r="I866" s="2" t="s">
        <v>25</v>
      </c>
      <c r="J866" s="2">
        <v>45186</v>
      </c>
      <c r="K866" s="3"/>
      <c r="L866" s="3">
        <v>17000</v>
      </c>
      <c r="M866" s="3">
        <v>17000</v>
      </c>
      <c r="N866" s="1">
        <v>1</v>
      </c>
      <c r="O866" s="1">
        <v>0</v>
      </c>
      <c r="P866" s="1">
        <v>1</v>
      </c>
      <c r="Q866" s="3"/>
      <c r="R866" s="3"/>
      <c r="S866" s="3">
        <v>17000</v>
      </c>
      <c r="T866" s="1">
        <v>1.6</v>
      </c>
      <c r="U866" s="3"/>
      <c r="V866" s="3"/>
      <c r="X866" s="1">
        <v>17000</v>
      </c>
      <c r="Y866" s="22">
        <v>1.6</v>
      </c>
      <c r="Z866" s="4">
        <f>Table1[[#This Row],[totalTimeKept]]*$AD$3</f>
        <v>24000</v>
      </c>
      <c r="AA866" s="4">
        <f>Y866-Z866</f>
        <v>-23998.400000000001</v>
      </c>
    </row>
    <row r="867" spans="1:27" x14ac:dyDescent="0.3">
      <c r="A867" s="1">
        <v>11099548</v>
      </c>
      <c r="B867" s="1" t="s">
        <v>1359</v>
      </c>
      <c r="C867" s="1" t="s">
        <v>443</v>
      </c>
      <c r="D867" s="1">
        <v>9131686</v>
      </c>
      <c r="E867" s="1">
        <v>0</v>
      </c>
      <c r="F867" s="1" t="s">
        <v>25</v>
      </c>
      <c r="G867" s="1" t="s">
        <v>349</v>
      </c>
      <c r="H867" s="2">
        <v>44588</v>
      </c>
      <c r="I867" s="2" t="s">
        <v>25</v>
      </c>
      <c r="J867" s="2">
        <v>44875</v>
      </c>
      <c r="K867" s="3"/>
      <c r="L867" s="3">
        <v>125000</v>
      </c>
      <c r="M867" s="3">
        <v>125000</v>
      </c>
      <c r="N867" s="1">
        <v>1</v>
      </c>
      <c r="O867" s="1">
        <v>0</v>
      </c>
      <c r="P867" s="1">
        <v>1</v>
      </c>
      <c r="Q867" s="3"/>
      <c r="R867" s="3"/>
      <c r="S867" s="3">
        <v>125000</v>
      </c>
      <c r="T867" s="1">
        <v>0.78630140000000004</v>
      </c>
      <c r="U867" s="3"/>
      <c r="V867" s="3"/>
      <c r="X867" s="1">
        <v>125000</v>
      </c>
      <c r="Y867" s="22">
        <v>0.78630140000000004</v>
      </c>
      <c r="Z867" s="4">
        <f>Table1[[#This Row],[totalTimeKept]]*$AD$3</f>
        <v>11794.521000000001</v>
      </c>
      <c r="AA867" s="4">
        <f>Y867-Z867</f>
        <v>-11793.734698600001</v>
      </c>
    </row>
    <row r="868" spans="1:27" x14ac:dyDescent="0.3">
      <c r="A868" s="1">
        <v>11099552</v>
      </c>
      <c r="B868" s="1" t="s">
        <v>1360</v>
      </c>
      <c r="C868" s="1" t="s">
        <v>1312</v>
      </c>
      <c r="D868" s="1">
        <v>10084007</v>
      </c>
      <c r="E868" s="1">
        <v>0</v>
      </c>
      <c r="F868" s="1" t="s">
        <v>25</v>
      </c>
      <c r="G868" s="1" t="s">
        <v>46</v>
      </c>
      <c r="H868" s="2">
        <v>44615</v>
      </c>
      <c r="I868" s="2" t="s">
        <v>25</v>
      </c>
      <c r="J868" s="2">
        <v>45186</v>
      </c>
      <c r="K868" s="3"/>
      <c r="L868" s="3">
        <v>130000</v>
      </c>
      <c r="M868" s="3">
        <v>130000</v>
      </c>
      <c r="N868" s="1">
        <v>1</v>
      </c>
      <c r="O868" s="1">
        <v>0</v>
      </c>
      <c r="P868" s="1">
        <v>1</v>
      </c>
      <c r="Q868" s="3"/>
      <c r="R868" s="3"/>
      <c r="S868" s="3">
        <v>130000</v>
      </c>
      <c r="T868" s="1">
        <v>1.564384</v>
      </c>
      <c r="U868" s="3"/>
      <c r="V868" s="3"/>
      <c r="X868" s="1">
        <v>130000</v>
      </c>
      <c r="Y868" s="22">
        <v>1.564384</v>
      </c>
      <c r="Z868" s="4">
        <f>Table1[[#This Row],[totalTimeKept]]*$AD$3</f>
        <v>23465.759999999998</v>
      </c>
      <c r="AA868" s="4">
        <f>Y868-Z868</f>
        <v>-23464.195615999997</v>
      </c>
    </row>
    <row r="869" spans="1:27" x14ac:dyDescent="0.3">
      <c r="A869" s="1">
        <v>11106955</v>
      </c>
      <c r="B869" s="1" t="s">
        <v>1361</v>
      </c>
      <c r="C869" s="1" t="s">
        <v>1362</v>
      </c>
      <c r="D869" s="1">
        <v>10259219</v>
      </c>
      <c r="E869" s="1">
        <v>0</v>
      </c>
      <c r="F869" s="1" t="s">
        <v>46</v>
      </c>
      <c r="G869" s="1" t="s">
        <v>25</v>
      </c>
      <c r="H869" s="2">
        <v>44628</v>
      </c>
      <c r="I869" s="2">
        <v>45185</v>
      </c>
      <c r="J869" s="1" t="s">
        <v>25</v>
      </c>
      <c r="K869" s="3">
        <v>700000</v>
      </c>
      <c r="L869" s="3"/>
      <c r="M869" s="3">
        <v>-700000</v>
      </c>
      <c r="N869" s="1">
        <v>0</v>
      </c>
      <c r="O869" s="1">
        <v>1</v>
      </c>
      <c r="P869" s="1">
        <v>0</v>
      </c>
      <c r="Q869" s="3"/>
      <c r="R869" s="3"/>
      <c r="S869" s="3">
        <v>-700000</v>
      </c>
      <c r="T869" s="1">
        <v>1.424658</v>
      </c>
      <c r="U869" s="3"/>
      <c r="V869" s="3"/>
      <c r="X869" s="1">
        <v>-700000</v>
      </c>
      <c r="Y869" s="22">
        <v>1.424658</v>
      </c>
      <c r="Z869" s="4">
        <f>Table1[[#This Row],[totalTimeKept]]*$AD$3</f>
        <v>21369.87</v>
      </c>
      <c r="AA869" s="4">
        <f>Y869-Z869</f>
        <v>-21368.445341999999</v>
      </c>
    </row>
    <row r="870" spans="1:27" x14ac:dyDescent="0.3">
      <c r="A870" s="1">
        <v>11109498</v>
      </c>
      <c r="B870" s="1" t="s">
        <v>1363</v>
      </c>
      <c r="C870" s="1" t="s">
        <v>678</v>
      </c>
      <c r="D870" s="1">
        <v>9709845</v>
      </c>
      <c r="E870" s="1">
        <v>0</v>
      </c>
      <c r="F870" s="1" t="s">
        <v>25</v>
      </c>
      <c r="G870" s="1" t="s">
        <v>46</v>
      </c>
      <c r="H870" s="2">
        <v>44620</v>
      </c>
      <c r="I870" s="2" t="s">
        <v>25</v>
      </c>
      <c r="J870" s="2">
        <v>44935</v>
      </c>
      <c r="K870" s="3"/>
      <c r="L870" s="3">
        <v>10000</v>
      </c>
      <c r="M870" s="3">
        <v>10000</v>
      </c>
      <c r="N870" s="1">
        <v>1</v>
      </c>
      <c r="O870" s="1">
        <v>0</v>
      </c>
      <c r="P870" s="1">
        <v>1</v>
      </c>
      <c r="Q870" s="3"/>
      <c r="R870" s="3"/>
      <c r="S870" s="3">
        <v>10000</v>
      </c>
      <c r="T870" s="1">
        <v>0.86301369999999999</v>
      </c>
      <c r="U870" s="3"/>
      <c r="V870" s="3"/>
      <c r="X870" s="1">
        <v>10000</v>
      </c>
      <c r="Y870" s="22">
        <v>0.86301369999999999</v>
      </c>
      <c r="Z870" s="4">
        <f>Table1[[#This Row],[totalTimeKept]]*$AD$3</f>
        <v>12945.2055</v>
      </c>
      <c r="AA870" s="4">
        <f>Y870-Z870</f>
        <v>-12944.3424863</v>
      </c>
    </row>
    <row r="871" spans="1:27" x14ac:dyDescent="0.3">
      <c r="A871" s="1">
        <v>11110791</v>
      </c>
      <c r="B871" s="1" t="s">
        <v>1364</v>
      </c>
      <c r="C871" s="1" t="s">
        <v>1365</v>
      </c>
      <c r="D871" s="1">
        <v>9548583</v>
      </c>
      <c r="E871" s="1">
        <v>8200</v>
      </c>
      <c r="F871" s="1" t="s">
        <v>46</v>
      </c>
      <c r="G871" s="1" t="s">
        <v>25</v>
      </c>
      <c r="H871" s="2">
        <v>44635</v>
      </c>
      <c r="I871" s="2">
        <v>45181</v>
      </c>
      <c r="J871" s="1" t="s">
        <v>25</v>
      </c>
      <c r="K871" s="3">
        <v>625000</v>
      </c>
      <c r="L871" s="3"/>
      <c r="M871" s="3">
        <v>-625000</v>
      </c>
      <c r="N871" s="1">
        <v>0</v>
      </c>
      <c r="O871" s="1">
        <v>1</v>
      </c>
      <c r="P871" s="1">
        <v>0</v>
      </c>
      <c r="Q871" s="3"/>
      <c r="R871" s="3"/>
      <c r="S871" s="3">
        <v>-616800</v>
      </c>
      <c r="T871" s="1">
        <v>1.435616</v>
      </c>
      <c r="U871" s="3"/>
      <c r="V871" s="3"/>
      <c r="X871" s="1">
        <v>-616800</v>
      </c>
      <c r="Y871" s="22">
        <v>1.435616</v>
      </c>
      <c r="Z871" s="4">
        <f>Table1[[#This Row],[totalTimeKept]]*$AD$3</f>
        <v>21534.240000000002</v>
      </c>
      <c r="AA871" s="4">
        <f>Y871-Z871</f>
        <v>-21532.804384000003</v>
      </c>
    </row>
    <row r="872" spans="1:27" x14ac:dyDescent="0.3">
      <c r="A872" s="1">
        <v>11111539</v>
      </c>
      <c r="B872" s="1" t="s">
        <v>1366</v>
      </c>
      <c r="C872" s="1" t="s">
        <v>183</v>
      </c>
      <c r="D872" s="1">
        <v>7688041</v>
      </c>
      <c r="E872" s="1">
        <v>0</v>
      </c>
      <c r="F872" s="1" t="s">
        <v>25</v>
      </c>
      <c r="G872" s="1" t="s">
        <v>46</v>
      </c>
      <c r="H872" s="2">
        <v>44599</v>
      </c>
      <c r="I872" s="2" t="s">
        <v>25</v>
      </c>
      <c r="J872" s="2">
        <v>45189</v>
      </c>
      <c r="K872" s="3"/>
      <c r="L872" s="3">
        <v>4000</v>
      </c>
      <c r="M872" s="3">
        <v>4000</v>
      </c>
      <c r="N872" s="1">
        <v>1</v>
      </c>
      <c r="O872" s="1">
        <v>0</v>
      </c>
      <c r="P872" s="1">
        <v>1</v>
      </c>
      <c r="Q872" s="3"/>
      <c r="R872" s="3"/>
      <c r="S872" s="3">
        <v>4000</v>
      </c>
      <c r="T872" s="1">
        <v>1.616438</v>
      </c>
      <c r="U872" s="3"/>
      <c r="V872" s="3"/>
      <c r="X872" s="1">
        <v>4000</v>
      </c>
      <c r="Y872" s="22">
        <v>1.616438</v>
      </c>
      <c r="Z872" s="4">
        <f>Table1[[#This Row],[totalTimeKept]]*$AD$3</f>
        <v>24246.57</v>
      </c>
      <c r="AA872" s="4">
        <f>Y872-Z872</f>
        <v>-24244.953561999999</v>
      </c>
    </row>
    <row r="873" spans="1:27" x14ac:dyDescent="0.3">
      <c r="A873" s="1">
        <v>11119234</v>
      </c>
      <c r="B873" s="1" t="s">
        <v>1367</v>
      </c>
      <c r="C873" s="1" t="s">
        <v>246</v>
      </c>
      <c r="D873" s="1">
        <v>8069122</v>
      </c>
      <c r="E873" s="1">
        <v>0</v>
      </c>
      <c r="F873" s="1" t="s">
        <v>25</v>
      </c>
      <c r="G873" s="1" t="s">
        <v>349</v>
      </c>
      <c r="H873" s="2">
        <v>44626</v>
      </c>
      <c r="I873" s="2" t="s">
        <v>25</v>
      </c>
      <c r="J873" s="2">
        <v>44871</v>
      </c>
      <c r="K873" s="3"/>
      <c r="L873" s="3">
        <v>85000</v>
      </c>
      <c r="M873" s="3">
        <v>85000</v>
      </c>
      <c r="N873" s="1">
        <v>1</v>
      </c>
      <c r="O873" s="1">
        <v>0</v>
      </c>
      <c r="P873" s="1">
        <v>1</v>
      </c>
      <c r="Q873" s="3"/>
      <c r="R873" s="3"/>
      <c r="S873" s="3">
        <v>85000</v>
      </c>
      <c r="T873" s="1">
        <v>0.67123290000000002</v>
      </c>
      <c r="U873" s="3"/>
      <c r="V873" s="3"/>
      <c r="X873" s="1">
        <v>85000</v>
      </c>
      <c r="Y873" s="22">
        <v>0.67123290000000002</v>
      </c>
      <c r="Z873" s="4">
        <f>Table1[[#This Row],[totalTimeKept]]*$AD$3</f>
        <v>10068.4935</v>
      </c>
      <c r="AA873" s="4">
        <f>Y873-Z873</f>
        <v>-10067.8222671</v>
      </c>
    </row>
    <row r="874" spans="1:27" x14ac:dyDescent="0.3">
      <c r="A874" s="1">
        <v>11119375</v>
      </c>
      <c r="B874" s="1" t="s">
        <v>1368</v>
      </c>
      <c r="C874" s="1" t="s">
        <v>1369</v>
      </c>
      <c r="D874" s="1">
        <v>9518118</v>
      </c>
      <c r="E874" s="1">
        <v>0</v>
      </c>
      <c r="F874" s="1" t="s">
        <v>25</v>
      </c>
      <c r="G874" s="1" t="s">
        <v>349</v>
      </c>
      <c r="H874" s="2">
        <v>44614</v>
      </c>
      <c r="I874" s="2" t="s">
        <v>25</v>
      </c>
      <c r="J874" s="2">
        <v>44878</v>
      </c>
      <c r="K874" s="3"/>
      <c r="L874" s="3">
        <v>20000</v>
      </c>
      <c r="M874" s="3">
        <v>20000</v>
      </c>
      <c r="N874" s="1">
        <v>1</v>
      </c>
      <c r="O874" s="1">
        <v>0</v>
      </c>
      <c r="P874" s="1">
        <v>1</v>
      </c>
      <c r="Q874" s="3"/>
      <c r="R874" s="3"/>
      <c r="S874" s="3">
        <v>20000</v>
      </c>
      <c r="T874" s="1">
        <v>0.72328760000000003</v>
      </c>
      <c r="U874" s="3"/>
      <c r="V874" s="3"/>
      <c r="X874" s="1">
        <v>20000</v>
      </c>
      <c r="Y874" s="22">
        <v>0.72328760000000003</v>
      </c>
      <c r="Z874" s="4">
        <f>Table1[[#This Row],[totalTimeKept]]*$AD$3</f>
        <v>10849.314</v>
      </c>
      <c r="AA874" s="4">
        <f>Y874-Z874</f>
        <v>-10848.5907124</v>
      </c>
    </row>
    <row r="875" spans="1:27" x14ac:dyDescent="0.3">
      <c r="A875" s="1">
        <v>11119379</v>
      </c>
      <c r="B875" s="1" t="s">
        <v>1370</v>
      </c>
      <c r="C875" s="1" t="s">
        <v>133</v>
      </c>
      <c r="D875" s="1">
        <v>7128556</v>
      </c>
      <c r="E875" s="1">
        <v>0</v>
      </c>
      <c r="F875" s="1" t="s">
        <v>25</v>
      </c>
      <c r="G875" s="1" t="s">
        <v>46</v>
      </c>
      <c r="H875" s="2">
        <v>44621</v>
      </c>
      <c r="I875" s="2" t="s">
        <v>25</v>
      </c>
      <c r="J875" s="2">
        <v>45188</v>
      </c>
      <c r="K875" s="3"/>
      <c r="L875" s="3">
        <v>55000</v>
      </c>
      <c r="M875" s="3">
        <v>55000</v>
      </c>
      <c r="N875" s="1">
        <v>1</v>
      </c>
      <c r="O875" s="1">
        <v>0</v>
      </c>
      <c r="P875" s="1">
        <v>1</v>
      </c>
      <c r="Q875" s="3"/>
      <c r="R875" s="3"/>
      <c r="S875" s="3">
        <v>55000</v>
      </c>
      <c r="T875" s="1">
        <v>1.5534250000000001</v>
      </c>
      <c r="U875" s="3"/>
      <c r="V875" s="3"/>
      <c r="X875" s="1">
        <v>55000</v>
      </c>
      <c r="Y875" s="22">
        <v>1.5534250000000001</v>
      </c>
      <c r="Z875" s="4">
        <f>Table1[[#This Row],[totalTimeKept]]*$AD$3</f>
        <v>23301.375</v>
      </c>
      <c r="AA875" s="4">
        <f>Y875-Z875</f>
        <v>-23299.821575000002</v>
      </c>
    </row>
    <row r="876" spans="1:27" x14ac:dyDescent="0.3">
      <c r="A876" s="1">
        <v>11119380</v>
      </c>
      <c r="B876" s="1" t="s">
        <v>1371</v>
      </c>
      <c r="C876" s="1" t="s">
        <v>336</v>
      </c>
      <c r="D876" s="1">
        <v>6674784</v>
      </c>
      <c r="E876" s="1">
        <v>0</v>
      </c>
      <c r="F876" s="1" t="s">
        <v>25</v>
      </c>
      <c r="G876" s="1" t="s">
        <v>46</v>
      </c>
      <c r="H876" s="2">
        <v>44623</v>
      </c>
      <c r="I876" s="2" t="s">
        <v>25</v>
      </c>
      <c r="J876" s="2">
        <v>45190</v>
      </c>
      <c r="K876" s="3"/>
      <c r="L876" s="3">
        <v>40000</v>
      </c>
      <c r="M876" s="3">
        <v>40000</v>
      </c>
      <c r="N876" s="1">
        <v>1</v>
      </c>
      <c r="O876" s="1">
        <v>0</v>
      </c>
      <c r="P876" s="1">
        <v>1</v>
      </c>
      <c r="Q876" s="3"/>
      <c r="R876" s="3"/>
      <c r="S876" s="3">
        <v>40000</v>
      </c>
      <c r="T876" s="1">
        <v>1.5534250000000001</v>
      </c>
      <c r="U876" s="3"/>
      <c r="V876" s="3"/>
      <c r="X876" s="1">
        <v>40000</v>
      </c>
      <c r="Y876" s="22">
        <v>1.5534250000000001</v>
      </c>
      <c r="Z876" s="4">
        <f>Table1[[#This Row],[totalTimeKept]]*$AD$3</f>
        <v>23301.375</v>
      </c>
      <c r="AA876" s="4">
        <f>Y876-Z876</f>
        <v>-23299.821575000002</v>
      </c>
    </row>
    <row r="877" spans="1:27" x14ac:dyDescent="0.3">
      <c r="A877" s="1">
        <v>11119401</v>
      </c>
      <c r="B877" s="1" t="s">
        <v>1372</v>
      </c>
      <c r="C877" s="1" t="s">
        <v>127</v>
      </c>
      <c r="D877" s="1">
        <v>6865801</v>
      </c>
      <c r="E877" s="1">
        <v>0</v>
      </c>
      <c r="F877" s="1" t="s">
        <v>25</v>
      </c>
      <c r="G877" s="1" t="s">
        <v>46</v>
      </c>
      <c r="H877" s="2">
        <v>44626</v>
      </c>
      <c r="I877" s="2" t="s">
        <v>25</v>
      </c>
      <c r="J877" s="2">
        <v>45184</v>
      </c>
      <c r="K877" s="3"/>
      <c r="L877" s="3">
        <v>40000</v>
      </c>
      <c r="M877" s="3">
        <v>40000</v>
      </c>
      <c r="N877" s="1">
        <v>1</v>
      </c>
      <c r="O877" s="1">
        <v>0</v>
      </c>
      <c r="P877" s="1">
        <v>1</v>
      </c>
      <c r="Q877" s="3"/>
      <c r="R877" s="3"/>
      <c r="S877" s="3">
        <v>40000</v>
      </c>
      <c r="T877" s="1">
        <v>1.528767</v>
      </c>
      <c r="U877" s="3"/>
      <c r="V877" s="3"/>
      <c r="X877" s="1">
        <v>40000</v>
      </c>
      <c r="Y877" s="22">
        <v>1.528767</v>
      </c>
      <c r="Z877" s="4">
        <f>Table1[[#This Row],[totalTimeKept]]*$AD$3</f>
        <v>22931.505000000001</v>
      </c>
      <c r="AA877" s="4">
        <f>Y877-Z877</f>
        <v>-22929.976233000001</v>
      </c>
    </row>
    <row r="878" spans="1:27" x14ac:dyDescent="0.3">
      <c r="A878" s="1">
        <v>11119416</v>
      </c>
      <c r="B878" s="1" t="s">
        <v>1373</v>
      </c>
      <c r="C878" s="1" t="s">
        <v>479</v>
      </c>
      <c r="D878" s="1">
        <v>7728446</v>
      </c>
      <c r="E878" s="1">
        <v>20000</v>
      </c>
      <c r="F878" s="1" t="s">
        <v>46</v>
      </c>
      <c r="G878" s="1" t="s">
        <v>46</v>
      </c>
      <c r="H878" s="2">
        <v>44633</v>
      </c>
      <c r="I878" s="2">
        <v>45145</v>
      </c>
      <c r="J878" s="2">
        <v>45145</v>
      </c>
      <c r="K878" s="3">
        <v>650000</v>
      </c>
      <c r="L878" s="3">
        <v>650000</v>
      </c>
      <c r="M878" s="3">
        <v>-650000</v>
      </c>
      <c r="N878" s="1">
        <v>1</v>
      </c>
      <c r="O878" s="1">
        <v>1</v>
      </c>
      <c r="P878" s="1">
        <v>1</v>
      </c>
      <c r="Q878" s="3"/>
      <c r="R878" s="3"/>
      <c r="S878" s="3">
        <v>-630000</v>
      </c>
      <c r="T878" s="1">
        <v>1.4027400000000001</v>
      </c>
      <c r="U878" s="3"/>
      <c r="V878" s="3"/>
      <c r="X878" s="1">
        <v>-630000</v>
      </c>
      <c r="Y878" s="22">
        <v>1.4027400000000001</v>
      </c>
      <c r="Z878" s="4">
        <f>Table1[[#This Row],[totalTimeKept]]*$AD$3</f>
        <v>21041.100000000002</v>
      </c>
      <c r="AA878" s="4">
        <f>Y878-Z878</f>
        <v>-21039.697260000001</v>
      </c>
    </row>
    <row r="879" spans="1:27" x14ac:dyDescent="0.3">
      <c r="A879" s="1">
        <v>11119421</v>
      </c>
      <c r="B879" s="1" t="s">
        <v>1374</v>
      </c>
      <c r="C879" s="1" t="s">
        <v>244</v>
      </c>
      <c r="D879" s="1">
        <v>8064031</v>
      </c>
      <c r="E879" s="1">
        <v>0</v>
      </c>
      <c r="F879" s="1" t="s">
        <v>25</v>
      </c>
      <c r="G879" s="1" t="s">
        <v>349</v>
      </c>
      <c r="H879" s="2">
        <v>44635</v>
      </c>
      <c r="I879" s="2" t="s">
        <v>25</v>
      </c>
      <c r="J879" s="2">
        <v>44874</v>
      </c>
      <c r="K879" s="3"/>
      <c r="L879" s="3">
        <v>300000</v>
      </c>
      <c r="M879" s="3">
        <v>300000</v>
      </c>
      <c r="N879" s="1">
        <v>1</v>
      </c>
      <c r="O879" s="1">
        <v>0</v>
      </c>
      <c r="P879" s="1">
        <v>1</v>
      </c>
      <c r="Q879" s="3"/>
      <c r="R879" s="3"/>
      <c r="S879" s="3">
        <v>300000</v>
      </c>
      <c r="T879" s="1">
        <v>0.65479449999999995</v>
      </c>
      <c r="U879" s="3"/>
      <c r="V879" s="3"/>
      <c r="X879" s="1">
        <v>300000</v>
      </c>
      <c r="Y879" s="22">
        <v>0.65479449999999995</v>
      </c>
      <c r="Z879" s="4">
        <f>Table1[[#This Row],[totalTimeKept]]*$AD$3</f>
        <v>9821.9174999999996</v>
      </c>
      <c r="AA879" s="4">
        <f>Y879-Z879</f>
        <v>-9821.2627054999994</v>
      </c>
    </row>
    <row r="880" spans="1:27" x14ac:dyDescent="0.3">
      <c r="A880" s="1">
        <v>11119428</v>
      </c>
      <c r="B880" s="1" t="s">
        <v>1375</v>
      </c>
      <c r="C880" s="1" t="s">
        <v>1249</v>
      </c>
      <c r="D880" s="1">
        <v>8875792</v>
      </c>
      <c r="E880" s="1">
        <v>0</v>
      </c>
      <c r="F880" s="1" t="s">
        <v>25</v>
      </c>
      <c r="G880" s="1" t="s">
        <v>46</v>
      </c>
      <c r="H880" s="2">
        <v>44643</v>
      </c>
      <c r="I880" s="2" t="s">
        <v>25</v>
      </c>
      <c r="J880" s="2">
        <v>45223</v>
      </c>
      <c r="K880" s="3"/>
      <c r="L880" s="3">
        <v>100000</v>
      </c>
      <c r="M880" s="3">
        <v>100000</v>
      </c>
      <c r="N880" s="1">
        <v>1</v>
      </c>
      <c r="O880" s="1">
        <v>0</v>
      </c>
      <c r="P880" s="1">
        <v>1</v>
      </c>
      <c r="Q880" s="3"/>
      <c r="R880" s="3"/>
      <c r="S880" s="3">
        <v>100000</v>
      </c>
      <c r="T880" s="1">
        <v>1.5890409999999999</v>
      </c>
      <c r="U880" s="3"/>
      <c r="V880" s="3"/>
      <c r="X880" s="1">
        <v>100000</v>
      </c>
      <c r="Y880" s="22">
        <v>1.5890409999999999</v>
      </c>
      <c r="Z880" s="4">
        <f>Table1[[#This Row],[totalTimeKept]]*$AD$3</f>
        <v>23835.614999999998</v>
      </c>
      <c r="AA880" s="4">
        <f>Y880-Z880</f>
        <v>-23834.025958999999</v>
      </c>
    </row>
    <row r="881" spans="1:27" x14ac:dyDescent="0.3">
      <c r="A881" s="1">
        <v>11123497</v>
      </c>
      <c r="B881" s="1" t="s">
        <v>1376</v>
      </c>
      <c r="C881" s="1" t="s">
        <v>1377</v>
      </c>
      <c r="D881" s="1">
        <v>9680801</v>
      </c>
      <c r="E881" s="1">
        <v>0</v>
      </c>
      <c r="F881" s="1" t="s">
        <v>46</v>
      </c>
      <c r="G881" s="1" t="s">
        <v>25</v>
      </c>
      <c r="H881" s="2">
        <v>44647</v>
      </c>
      <c r="I881" s="2">
        <v>45145</v>
      </c>
      <c r="J881" s="1" t="s">
        <v>25</v>
      </c>
      <c r="K881" s="3">
        <v>875000</v>
      </c>
      <c r="L881" s="3"/>
      <c r="M881" s="3">
        <v>-875000</v>
      </c>
      <c r="N881" s="1">
        <v>0</v>
      </c>
      <c r="O881" s="1">
        <v>1</v>
      </c>
      <c r="P881" s="1">
        <v>0</v>
      </c>
      <c r="Q881" s="3"/>
      <c r="R881" s="3"/>
      <c r="S881" s="3">
        <v>-875000</v>
      </c>
      <c r="T881" s="1">
        <v>1.5342469999999999</v>
      </c>
      <c r="U881" s="3"/>
      <c r="V881" s="3"/>
      <c r="X881" s="1">
        <v>-875000</v>
      </c>
      <c r="Y881" s="22">
        <v>1.5342469999999999</v>
      </c>
      <c r="Z881" s="4">
        <f>Table1[[#This Row],[totalTimeKept]]*$AD$3</f>
        <v>23013.704999999998</v>
      </c>
      <c r="AA881" s="4">
        <f>Y881-Z881</f>
        <v>-23012.170752999999</v>
      </c>
    </row>
    <row r="882" spans="1:27" x14ac:dyDescent="0.3">
      <c r="A882" s="1">
        <v>11123890</v>
      </c>
      <c r="B882" s="1" t="s">
        <v>1378</v>
      </c>
      <c r="C882" s="1" t="s">
        <v>1379</v>
      </c>
      <c r="D882" s="1">
        <v>10059234</v>
      </c>
      <c r="E882" s="1">
        <v>1455000</v>
      </c>
      <c r="F882" s="1" t="s">
        <v>46</v>
      </c>
      <c r="G882" s="1" t="s">
        <v>25</v>
      </c>
      <c r="H882" s="2">
        <v>44653</v>
      </c>
      <c r="I882" s="2">
        <v>45183</v>
      </c>
      <c r="J882" s="1" t="s">
        <v>25</v>
      </c>
      <c r="K882" s="3">
        <v>675000</v>
      </c>
      <c r="L882" s="3"/>
      <c r="M882" s="3">
        <v>-675000</v>
      </c>
      <c r="N882" s="1">
        <v>0</v>
      </c>
      <c r="O882" s="1">
        <v>1</v>
      </c>
      <c r="P882" s="1">
        <v>0</v>
      </c>
      <c r="Q882" s="3"/>
      <c r="R882" s="3"/>
      <c r="S882" s="3">
        <v>780000</v>
      </c>
      <c r="T882" s="1">
        <v>1.430137</v>
      </c>
      <c r="U882" s="3"/>
      <c r="V882" s="3"/>
      <c r="X882" s="1">
        <v>780000</v>
      </c>
      <c r="Y882" s="22">
        <v>1.430137</v>
      </c>
      <c r="Z882" s="4">
        <f>Table1[[#This Row],[totalTimeKept]]*$AD$3</f>
        <v>21452.055</v>
      </c>
      <c r="AA882" s="4">
        <f>Y882-Z882</f>
        <v>-21450.624863000001</v>
      </c>
    </row>
    <row r="883" spans="1:27" x14ac:dyDescent="0.3">
      <c r="A883" s="1">
        <v>11126552</v>
      </c>
      <c r="B883" s="1" t="s">
        <v>1380</v>
      </c>
      <c r="C883" s="1" t="s">
        <v>191</v>
      </c>
      <c r="D883" s="1">
        <v>7704649</v>
      </c>
      <c r="E883" s="1">
        <v>0</v>
      </c>
      <c r="F883" s="1" t="s">
        <v>25</v>
      </c>
      <c r="G883" s="1" t="s">
        <v>46</v>
      </c>
      <c r="H883" s="2">
        <v>44596</v>
      </c>
      <c r="I883" s="2" t="s">
        <v>25</v>
      </c>
      <c r="J883" s="2">
        <v>45184</v>
      </c>
      <c r="K883" s="3"/>
      <c r="L883" s="3">
        <v>37000</v>
      </c>
      <c r="M883" s="3">
        <v>37000</v>
      </c>
      <c r="N883" s="1">
        <v>1</v>
      </c>
      <c r="O883" s="1">
        <v>0</v>
      </c>
      <c r="P883" s="1">
        <v>1</v>
      </c>
      <c r="Q883" s="3"/>
      <c r="R883" s="3"/>
      <c r="S883" s="3">
        <v>37000</v>
      </c>
      <c r="T883" s="1">
        <v>1.610959</v>
      </c>
      <c r="U883" s="3"/>
      <c r="V883" s="3"/>
      <c r="X883" s="1">
        <v>37000</v>
      </c>
      <c r="Y883" s="22">
        <v>1.610959</v>
      </c>
      <c r="Z883" s="4">
        <f>Table1[[#This Row],[totalTimeKept]]*$AD$3</f>
        <v>24164.385000000002</v>
      </c>
      <c r="AA883" s="4">
        <f>Y883-Z883</f>
        <v>-24162.774041000001</v>
      </c>
    </row>
    <row r="884" spans="1:27" x14ac:dyDescent="0.3">
      <c r="A884" s="1">
        <v>11126555</v>
      </c>
      <c r="B884" s="1" t="s">
        <v>1381</v>
      </c>
      <c r="C884" s="1" t="s">
        <v>1382</v>
      </c>
      <c r="D884" s="1">
        <v>9904227</v>
      </c>
      <c r="E884" s="1">
        <v>0</v>
      </c>
      <c r="F884" s="1" t="s">
        <v>46</v>
      </c>
      <c r="G884" s="1" t="s">
        <v>25</v>
      </c>
      <c r="H884" s="2">
        <v>44600</v>
      </c>
      <c r="I884" s="2">
        <v>45181</v>
      </c>
      <c r="J884" s="1" t="s">
        <v>25</v>
      </c>
      <c r="K884" s="3">
        <v>900000</v>
      </c>
      <c r="L884" s="3"/>
      <c r="M884" s="3">
        <v>-900000</v>
      </c>
      <c r="N884" s="1">
        <v>0</v>
      </c>
      <c r="O884" s="1">
        <v>1</v>
      </c>
      <c r="P884" s="1">
        <v>0</v>
      </c>
      <c r="Q884" s="3"/>
      <c r="R884" s="3"/>
      <c r="S884" s="3">
        <v>-900000</v>
      </c>
      <c r="T884" s="1">
        <v>1.435616</v>
      </c>
      <c r="U884" s="3"/>
      <c r="V884" s="3"/>
      <c r="X884" s="1">
        <v>-900000</v>
      </c>
      <c r="Y884" s="22">
        <v>1.435616</v>
      </c>
      <c r="Z884" s="4">
        <f>Table1[[#This Row],[totalTimeKept]]*$AD$3</f>
        <v>21534.240000000002</v>
      </c>
      <c r="AA884" s="4">
        <f>Y884-Z884</f>
        <v>-21532.804384000003</v>
      </c>
    </row>
    <row r="885" spans="1:27" x14ac:dyDescent="0.3">
      <c r="A885" s="1">
        <v>11126956</v>
      </c>
      <c r="B885" s="1" t="s">
        <v>1383</v>
      </c>
      <c r="C885" s="1" t="s">
        <v>830</v>
      </c>
      <c r="D885" s="1">
        <v>10127347</v>
      </c>
      <c r="E885" s="1">
        <v>0</v>
      </c>
      <c r="F885" s="1" t="s">
        <v>25</v>
      </c>
      <c r="G885" s="1" t="s">
        <v>46</v>
      </c>
      <c r="H885" s="2">
        <v>44657</v>
      </c>
      <c r="I885" s="2" t="s">
        <v>25</v>
      </c>
      <c r="J885" s="2">
        <v>45184</v>
      </c>
      <c r="K885" s="3"/>
      <c r="L885" s="3">
        <v>350000</v>
      </c>
      <c r="M885" s="3">
        <v>350000</v>
      </c>
      <c r="N885" s="1">
        <v>1</v>
      </c>
      <c r="O885" s="1">
        <v>0</v>
      </c>
      <c r="P885" s="1">
        <v>1</v>
      </c>
      <c r="Q885" s="3"/>
      <c r="R885" s="3"/>
      <c r="S885" s="3">
        <v>350000</v>
      </c>
      <c r="T885" s="1">
        <v>1.4438359999999999</v>
      </c>
      <c r="U885" s="3"/>
      <c r="V885" s="3"/>
      <c r="X885" s="1">
        <v>350000</v>
      </c>
      <c r="Y885" s="22">
        <v>1.4438359999999999</v>
      </c>
      <c r="Z885" s="4">
        <f>Table1[[#This Row],[totalTimeKept]]*$AD$3</f>
        <v>21657.539999999997</v>
      </c>
      <c r="AA885" s="4">
        <f>Y885-Z885</f>
        <v>-21656.096163999999</v>
      </c>
    </row>
    <row r="886" spans="1:27" x14ac:dyDescent="0.3">
      <c r="A886" s="1">
        <v>11127022</v>
      </c>
      <c r="B886" s="1" t="s">
        <v>1384</v>
      </c>
      <c r="C886" s="1" t="s">
        <v>1385</v>
      </c>
      <c r="D886" s="1">
        <v>8906820</v>
      </c>
      <c r="E886" s="1">
        <v>32400</v>
      </c>
      <c r="F886" s="1" t="s">
        <v>46</v>
      </c>
      <c r="G886" s="1" t="s">
        <v>25</v>
      </c>
      <c r="H886" s="2">
        <v>44655</v>
      </c>
      <c r="I886" s="2">
        <v>45184</v>
      </c>
      <c r="J886" s="1" t="s">
        <v>25</v>
      </c>
      <c r="K886" s="3">
        <v>435000</v>
      </c>
      <c r="L886" s="3"/>
      <c r="M886" s="3">
        <v>-435000</v>
      </c>
      <c r="N886" s="1">
        <v>0</v>
      </c>
      <c r="O886" s="1">
        <v>1</v>
      </c>
      <c r="P886" s="1">
        <v>0</v>
      </c>
      <c r="Q886" s="3"/>
      <c r="R886" s="3"/>
      <c r="S886" s="3">
        <v>-402600</v>
      </c>
      <c r="T886" s="1">
        <v>1.427397</v>
      </c>
      <c r="U886" s="3"/>
      <c r="V886" s="3"/>
      <c r="X886" s="1">
        <v>-402600</v>
      </c>
      <c r="Y886" s="22">
        <v>1.427397</v>
      </c>
      <c r="Z886" s="4">
        <f>Table1[[#This Row],[totalTimeKept]]*$AD$3</f>
        <v>21410.955000000002</v>
      </c>
      <c r="AA886" s="4">
        <f>Y886-Z886</f>
        <v>-21409.527603000002</v>
      </c>
    </row>
    <row r="887" spans="1:27" x14ac:dyDescent="0.3">
      <c r="A887" s="1">
        <v>11131397</v>
      </c>
      <c r="B887" s="1" t="s">
        <v>1386</v>
      </c>
      <c r="C887" s="1" t="s">
        <v>47</v>
      </c>
      <c r="D887" s="1">
        <v>4494884</v>
      </c>
      <c r="E887" s="1">
        <v>0</v>
      </c>
      <c r="F887" s="1" t="s">
        <v>25</v>
      </c>
      <c r="G887" s="1" t="s">
        <v>46</v>
      </c>
      <c r="H887" s="2">
        <v>44666</v>
      </c>
      <c r="I887" s="2" t="s">
        <v>25</v>
      </c>
      <c r="J887" s="2">
        <v>45188</v>
      </c>
      <c r="K887" s="3"/>
      <c r="L887" s="3">
        <v>3500</v>
      </c>
      <c r="M887" s="3">
        <v>3500</v>
      </c>
      <c r="N887" s="1">
        <v>1</v>
      </c>
      <c r="O887" s="1">
        <v>0</v>
      </c>
      <c r="P887" s="1">
        <v>1</v>
      </c>
      <c r="Q887" s="3"/>
      <c r="R887" s="3"/>
      <c r="S887" s="3">
        <v>3500</v>
      </c>
      <c r="T887" s="1">
        <v>1.430137</v>
      </c>
      <c r="U887" s="3"/>
      <c r="V887" s="3"/>
      <c r="X887" s="1">
        <v>3500</v>
      </c>
      <c r="Y887" s="22">
        <v>1.430137</v>
      </c>
      <c r="Z887" s="4">
        <f>Table1[[#This Row],[totalTimeKept]]*$AD$3</f>
        <v>21452.055</v>
      </c>
      <c r="AA887" s="4">
        <f>Y887-Z887</f>
        <v>-21450.624863000001</v>
      </c>
    </row>
    <row r="888" spans="1:27" x14ac:dyDescent="0.3">
      <c r="A888" s="1">
        <v>11131700</v>
      </c>
      <c r="B888" s="1" t="s">
        <v>1387</v>
      </c>
      <c r="C888" s="1" t="s">
        <v>1388</v>
      </c>
      <c r="D888" s="1">
        <v>9473549</v>
      </c>
      <c r="E888" s="1">
        <v>42600</v>
      </c>
      <c r="F888" s="1" t="s">
        <v>46</v>
      </c>
      <c r="G888" s="1" t="s">
        <v>25</v>
      </c>
      <c r="H888" s="2">
        <v>44674</v>
      </c>
      <c r="I888" s="2">
        <v>45182</v>
      </c>
      <c r="J888" s="1" t="s">
        <v>25</v>
      </c>
      <c r="K888" s="3">
        <v>280000</v>
      </c>
      <c r="L888" s="3"/>
      <c r="M888" s="3">
        <v>-280000</v>
      </c>
      <c r="N888" s="1">
        <v>0</v>
      </c>
      <c r="O888" s="1">
        <v>1</v>
      </c>
      <c r="P888" s="1">
        <v>0</v>
      </c>
      <c r="Q888" s="3"/>
      <c r="R888" s="3"/>
      <c r="S888" s="3">
        <v>-237400</v>
      </c>
      <c r="T888" s="1">
        <v>1.432877</v>
      </c>
      <c r="U888" s="3"/>
      <c r="V888" s="3"/>
      <c r="X888" s="1">
        <v>-237400</v>
      </c>
      <c r="Y888" s="22">
        <v>1.432877</v>
      </c>
      <c r="Z888" s="4">
        <f>Table1[[#This Row],[totalTimeKept]]*$AD$3</f>
        <v>21493.154999999999</v>
      </c>
      <c r="AA888" s="4">
        <f>Y888-Z888</f>
        <v>-21491.722123</v>
      </c>
    </row>
    <row r="889" spans="1:27" x14ac:dyDescent="0.3">
      <c r="A889" s="1">
        <v>11132359</v>
      </c>
      <c r="B889" s="1" t="s">
        <v>1389</v>
      </c>
      <c r="C889" s="1" t="s">
        <v>152</v>
      </c>
      <c r="D889" s="1">
        <v>7374648</v>
      </c>
      <c r="E889" s="1">
        <v>0</v>
      </c>
      <c r="F889" s="1" t="s">
        <v>25</v>
      </c>
      <c r="G889" s="1" t="s">
        <v>349</v>
      </c>
      <c r="H889" s="2">
        <v>44664</v>
      </c>
      <c r="I889" s="2" t="s">
        <v>25</v>
      </c>
      <c r="J889" s="2">
        <v>44876</v>
      </c>
      <c r="K889" s="3"/>
      <c r="L889" s="3">
        <v>175000</v>
      </c>
      <c r="M889" s="3">
        <v>175000</v>
      </c>
      <c r="N889" s="1">
        <v>1</v>
      </c>
      <c r="O889" s="1">
        <v>0</v>
      </c>
      <c r="P889" s="1">
        <v>1</v>
      </c>
      <c r="Q889" s="3"/>
      <c r="R889" s="3"/>
      <c r="S889" s="3">
        <v>175000</v>
      </c>
      <c r="T889" s="1">
        <v>0.5808219</v>
      </c>
      <c r="U889" s="3"/>
      <c r="V889" s="3"/>
      <c r="X889" s="1">
        <v>175000</v>
      </c>
      <c r="Y889" s="22">
        <v>0.5808219</v>
      </c>
      <c r="Z889" s="4">
        <f>Table1[[#This Row],[totalTimeKept]]*$AD$3</f>
        <v>8712.3284999999996</v>
      </c>
      <c r="AA889" s="4">
        <f>Y889-Z889</f>
        <v>-8711.7476781000005</v>
      </c>
    </row>
    <row r="890" spans="1:27" x14ac:dyDescent="0.3">
      <c r="A890" s="1">
        <v>11132360</v>
      </c>
      <c r="B890" s="1" t="s">
        <v>1390</v>
      </c>
      <c r="C890" s="1" t="s">
        <v>477</v>
      </c>
      <c r="D890" s="1">
        <v>6909698</v>
      </c>
      <c r="E890" s="1">
        <v>0</v>
      </c>
      <c r="F890" s="1" t="s">
        <v>46</v>
      </c>
      <c r="G890" s="1" t="s">
        <v>349</v>
      </c>
      <c r="H890" s="2">
        <v>44666</v>
      </c>
      <c r="I890" s="2">
        <v>45182</v>
      </c>
      <c r="J890" s="2">
        <v>44874</v>
      </c>
      <c r="K890" s="3">
        <v>700000</v>
      </c>
      <c r="L890" s="3">
        <v>260000</v>
      </c>
      <c r="M890" s="3">
        <v>-440000</v>
      </c>
      <c r="N890" s="1">
        <v>1</v>
      </c>
      <c r="O890" s="1">
        <v>1</v>
      </c>
      <c r="P890" s="1">
        <v>1</v>
      </c>
      <c r="Q890" s="3"/>
      <c r="R890" s="3"/>
      <c r="S890" s="3">
        <v>-440000</v>
      </c>
      <c r="T890" s="1">
        <v>0.56986300000000001</v>
      </c>
      <c r="U890" s="3"/>
      <c r="V890" s="3"/>
      <c r="X890" s="1">
        <v>-440000</v>
      </c>
      <c r="Y890" s="22">
        <v>0.56986300000000001</v>
      </c>
      <c r="Z890" s="4">
        <f>Table1[[#This Row],[totalTimeKept]]*$AD$3</f>
        <v>8547.9449999999997</v>
      </c>
      <c r="AA890" s="4">
        <f>Y890-Z890</f>
        <v>-8547.3751369999991</v>
      </c>
    </row>
    <row r="891" spans="1:27" x14ac:dyDescent="0.3">
      <c r="A891" s="1">
        <v>11132363</v>
      </c>
      <c r="B891" s="1" t="s">
        <v>1391</v>
      </c>
      <c r="C891" s="1" t="s">
        <v>1101</v>
      </c>
      <c r="D891" s="1">
        <v>6879147</v>
      </c>
      <c r="E891" s="1">
        <v>0</v>
      </c>
      <c r="F891" s="1" t="s">
        <v>25</v>
      </c>
      <c r="G891" s="1" t="s">
        <v>349</v>
      </c>
      <c r="H891" s="2">
        <v>44671</v>
      </c>
      <c r="I891" s="2" t="s">
        <v>25</v>
      </c>
      <c r="J891" s="2">
        <v>44871</v>
      </c>
      <c r="K891" s="3"/>
      <c r="L891" s="3">
        <v>350000</v>
      </c>
      <c r="M891" s="3">
        <v>350000</v>
      </c>
      <c r="N891" s="1">
        <v>1</v>
      </c>
      <c r="O891" s="1">
        <v>0</v>
      </c>
      <c r="P891" s="1">
        <v>1</v>
      </c>
      <c r="Q891" s="3"/>
      <c r="R891" s="3"/>
      <c r="S891" s="3">
        <v>350000</v>
      </c>
      <c r="T891" s="1">
        <v>0.54794520000000002</v>
      </c>
      <c r="U891" s="3"/>
      <c r="V891" s="3"/>
      <c r="X891" s="1">
        <v>350000</v>
      </c>
      <c r="Y891" s="22">
        <v>0.54794520000000002</v>
      </c>
      <c r="Z891" s="4">
        <f>Table1[[#This Row],[totalTimeKept]]*$AD$3</f>
        <v>8219.1779999999999</v>
      </c>
      <c r="AA891" s="4">
        <f>Y891-Z891</f>
        <v>-8218.6300547999999</v>
      </c>
    </row>
    <row r="892" spans="1:27" x14ac:dyDescent="0.3">
      <c r="A892" s="1">
        <v>11133251</v>
      </c>
      <c r="B892" s="1" t="s">
        <v>1392</v>
      </c>
      <c r="C892" s="1" t="s">
        <v>409</v>
      </c>
      <c r="D892" s="1">
        <v>9075403</v>
      </c>
      <c r="E892" s="1">
        <v>19065</v>
      </c>
      <c r="F892" s="1" t="s">
        <v>46</v>
      </c>
      <c r="G892" s="1" t="s">
        <v>25</v>
      </c>
      <c r="H892" s="2">
        <v>44614</v>
      </c>
      <c r="I892" s="2">
        <v>45184</v>
      </c>
      <c r="J892" s="1" t="s">
        <v>25</v>
      </c>
      <c r="K892" s="3">
        <v>65000</v>
      </c>
      <c r="L892" s="3"/>
      <c r="M892" s="3">
        <v>-65000</v>
      </c>
      <c r="N892" s="1">
        <v>0</v>
      </c>
      <c r="O892" s="1">
        <v>1</v>
      </c>
      <c r="P892" s="1">
        <v>0</v>
      </c>
      <c r="Q892" s="3"/>
      <c r="R892" s="3"/>
      <c r="S892" s="3">
        <v>-45935</v>
      </c>
      <c r="T892" s="1">
        <v>1.427397</v>
      </c>
      <c r="U892" s="3"/>
      <c r="V892" s="3"/>
      <c r="X892" s="1">
        <v>-45935</v>
      </c>
      <c r="Y892" s="22">
        <v>1.427397</v>
      </c>
      <c r="Z892" s="4">
        <f>Table1[[#This Row],[totalTimeKept]]*$AD$3</f>
        <v>21410.955000000002</v>
      </c>
      <c r="AA892" s="4">
        <f>Y892-Z892</f>
        <v>-21409.527603000002</v>
      </c>
    </row>
    <row r="893" spans="1:27" x14ac:dyDescent="0.3">
      <c r="A893" s="1">
        <v>11136106</v>
      </c>
      <c r="B893" s="1" t="s">
        <v>1393</v>
      </c>
      <c r="C893" s="1" t="s">
        <v>1394</v>
      </c>
      <c r="D893" s="1">
        <v>8028686</v>
      </c>
      <c r="E893" s="1">
        <v>59900</v>
      </c>
      <c r="F893" s="1" t="s">
        <v>46</v>
      </c>
      <c r="G893" s="1" t="s">
        <v>25</v>
      </c>
      <c r="H893" s="2">
        <v>44684</v>
      </c>
      <c r="I893" s="2">
        <v>45182</v>
      </c>
      <c r="J893" s="1" t="s">
        <v>25</v>
      </c>
      <c r="K893" s="3">
        <v>700000</v>
      </c>
      <c r="L893" s="3"/>
      <c r="M893" s="3">
        <v>-700000</v>
      </c>
      <c r="N893" s="1">
        <v>0</v>
      </c>
      <c r="O893" s="1">
        <v>1</v>
      </c>
      <c r="P893" s="1">
        <v>0</v>
      </c>
      <c r="Q893" s="3"/>
      <c r="R893" s="3"/>
      <c r="S893" s="3">
        <v>-640100</v>
      </c>
      <c r="T893" s="1">
        <v>1.432877</v>
      </c>
      <c r="U893" s="3"/>
      <c r="V893" s="3"/>
      <c r="X893" s="1">
        <v>-640100</v>
      </c>
      <c r="Y893" s="22">
        <v>1.432877</v>
      </c>
      <c r="Z893" s="4">
        <f>Table1[[#This Row],[totalTimeKept]]*$AD$3</f>
        <v>21493.154999999999</v>
      </c>
      <c r="AA893" s="4">
        <f>Y893-Z893</f>
        <v>-21491.722123</v>
      </c>
    </row>
    <row r="894" spans="1:27" x14ac:dyDescent="0.3">
      <c r="A894" s="1">
        <v>11138946</v>
      </c>
      <c r="B894" s="1" t="s">
        <v>1395</v>
      </c>
      <c r="C894" s="1" t="s">
        <v>1396</v>
      </c>
      <c r="D894" s="1">
        <v>8852027</v>
      </c>
      <c r="E894" s="1">
        <v>0</v>
      </c>
      <c r="F894" s="1" t="s">
        <v>46</v>
      </c>
      <c r="G894" s="1" t="s">
        <v>25</v>
      </c>
      <c r="H894" s="2">
        <v>44671</v>
      </c>
      <c r="I894" s="2">
        <v>45181</v>
      </c>
      <c r="J894" s="1" t="s">
        <v>25</v>
      </c>
      <c r="K894" s="3">
        <v>1100000</v>
      </c>
      <c r="L894" s="3"/>
      <c r="M894" s="3">
        <v>-1100000</v>
      </c>
      <c r="N894" s="1">
        <v>0</v>
      </c>
      <c r="O894" s="1">
        <v>1</v>
      </c>
      <c r="P894" s="1">
        <v>0</v>
      </c>
      <c r="Q894" s="3"/>
      <c r="R894" s="3"/>
      <c r="S894" s="3">
        <v>-1100000</v>
      </c>
      <c r="T894" s="1">
        <v>1.435616</v>
      </c>
      <c r="U894" s="3"/>
      <c r="V894" s="3"/>
      <c r="X894" s="1">
        <v>-1100000</v>
      </c>
      <c r="Y894" s="22">
        <v>1.435616</v>
      </c>
      <c r="Z894" s="4">
        <f>Table1[[#This Row],[totalTimeKept]]*$AD$3</f>
        <v>21534.240000000002</v>
      </c>
      <c r="AA894" s="4">
        <f>Y894-Z894</f>
        <v>-21532.804384000003</v>
      </c>
    </row>
    <row r="895" spans="1:27" x14ac:dyDescent="0.3">
      <c r="A895" s="1">
        <v>11140085</v>
      </c>
      <c r="B895" s="1" t="s">
        <v>1397</v>
      </c>
      <c r="C895" s="1" t="s">
        <v>1398</v>
      </c>
      <c r="D895" s="1">
        <v>9727618</v>
      </c>
      <c r="E895" s="1">
        <v>27301</v>
      </c>
      <c r="F895" s="1" t="s">
        <v>46</v>
      </c>
      <c r="G895" s="1" t="s">
        <v>292</v>
      </c>
      <c r="H895" s="2">
        <v>44655</v>
      </c>
      <c r="I895" s="2">
        <v>45180</v>
      </c>
      <c r="J895" s="2">
        <v>45610</v>
      </c>
      <c r="K895" s="3">
        <v>525000</v>
      </c>
      <c r="L895" s="3">
        <v>70000</v>
      </c>
      <c r="M895" s="3">
        <v>-455000</v>
      </c>
      <c r="N895" s="1">
        <v>0</v>
      </c>
      <c r="O895" s="1">
        <v>1</v>
      </c>
      <c r="P895" s="1">
        <v>1</v>
      </c>
      <c r="Q895" s="3"/>
      <c r="R895" s="3"/>
      <c r="S895" s="3">
        <v>-427699</v>
      </c>
      <c r="T895" s="1">
        <v>1.1780820000000001</v>
      </c>
      <c r="U895" s="3"/>
      <c r="V895" s="3"/>
      <c r="X895" s="1">
        <v>-427699</v>
      </c>
      <c r="Y895" s="22">
        <v>1.1780820000000001</v>
      </c>
      <c r="Z895" s="4">
        <f>Table1[[#This Row],[totalTimeKept]]*$AD$3</f>
        <v>17671.23</v>
      </c>
      <c r="AA895" s="4">
        <f>Y895-Z895</f>
        <v>-17670.051918000001</v>
      </c>
    </row>
    <row r="896" spans="1:27" x14ac:dyDescent="0.3">
      <c r="A896" s="1">
        <v>11140095</v>
      </c>
      <c r="B896" s="1" t="s">
        <v>1399</v>
      </c>
      <c r="C896" s="1" t="s">
        <v>101</v>
      </c>
      <c r="D896" s="1">
        <v>6489834</v>
      </c>
      <c r="E896" s="1">
        <v>0</v>
      </c>
      <c r="F896" s="1" t="s">
        <v>25</v>
      </c>
      <c r="G896" s="1" t="s">
        <v>46</v>
      </c>
      <c r="H896" s="2">
        <v>44681</v>
      </c>
      <c r="I896" s="2" t="s">
        <v>25</v>
      </c>
      <c r="J896" s="2">
        <v>45189</v>
      </c>
      <c r="K896" s="3"/>
      <c r="L896" s="3">
        <v>4000</v>
      </c>
      <c r="M896" s="3">
        <v>4000</v>
      </c>
      <c r="N896" s="1">
        <v>1</v>
      </c>
      <c r="O896" s="1">
        <v>0</v>
      </c>
      <c r="P896" s="1">
        <v>1</v>
      </c>
      <c r="Q896" s="3"/>
      <c r="R896" s="3"/>
      <c r="S896" s="3">
        <v>4000</v>
      </c>
      <c r="T896" s="1">
        <v>1.3917809999999999</v>
      </c>
      <c r="U896" s="3"/>
      <c r="V896" s="3"/>
      <c r="X896" s="1">
        <v>4000</v>
      </c>
      <c r="Y896" s="22">
        <v>1.3917809999999999</v>
      </c>
      <c r="Z896" s="4">
        <f>Table1[[#This Row],[totalTimeKept]]*$AD$3</f>
        <v>20876.715</v>
      </c>
      <c r="AA896" s="4">
        <f>Y896-Z896</f>
        <v>-20875.323219000002</v>
      </c>
    </row>
    <row r="897" spans="1:27" x14ac:dyDescent="0.3">
      <c r="A897" s="1">
        <v>11140395</v>
      </c>
      <c r="B897" s="1" t="s">
        <v>1400</v>
      </c>
      <c r="C897" s="1" t="s">
        <v>1401</v>
      </c>
      <c r="D897" s="1">
        <v>9867070</v>
      </c>
      <c r="E897" s="1">
        <v>350000</v>
      </c>
      <c r="F897" s="1" t="s">
        <v>46</v>
      </c>
      <c r="G897" s="1" t="s">
        <v>25</v>
      </c>
      <c r="H897" s="2">
        <v>44587</v>
      </c>
      <c r="I897" s="2">
        <v>45182</v>
      </c>
      <c r="J897" s="1" t="s">
        <v>25</v>
      </c>
      <c r="K897" s="3">
        <v>700000</v>
      </c>
      <c r="L897" s="3"/>
      <c r="M897" s="3">
        <v>-700000</v>
      </c>
      <c r="N897" s="1">
        <v>0</v>
      </c>
      <c r="O897" s="1">
        <v>1</v>
      </c>
      <c r="P897" s="1">
        <v>0</v>
      </c>
      <c r="Q897" s="3"/>
      <c r="R897" s="3"/>
      <c r="S897" s="3">
        <v>-350000</v>
      </c>
      <c r="T897" s="1">
        <v>1.432877</v>
      </c>
      <c r="U897" s="3"/>
      <c r="V897" s="3"/>
      <c r="X897" s="1">
        <v>-350000</v>
      </c>
      <c r="Y897" s="22">
        <v>1.432877</v>
      </c>
      <c r="Z897" s="4">
        <f>Table1[[#This Row],[totalTimeKept]]*$AD$3</f>
        <v>21493.154999999999</v>
      </c>
      <c r="AA897" s="4">
        <f>Y897-Z897</f>
        <v>-21491.722123</v>
      </c>
    </row>
    <row r="898" spans="1:27" x14ac:dyDescent="0.3">
      <c r="A898" s="1">
        <v>11140571</v>
      </c>
      <c r="B898" s="1" t="s">
        <v>1402</v>
      </c>
      <c r="C898" s="1" t="s">
        <v>1403</v>
      </c>
      <c r="D898" s="1">
        <v>9121426</v>
      </c>
      <c r="E898" s="1">
        <v>0</v>
      </c>
      <c r="F898" s="1" t="s">
        <v>46</v>
      </c>
      <c r="G898" s="1" t="s">
        <v>25</v>
      </c>
      <c r="H898" s="2">
        <v>44669</v>
      </c>
      <c r="I898" s="2">
        <v>45223</v>
      </c>
      <c r="J898" s="1" t="s">
        <v>25</v>
      </c>
      <c r="K898" s="3">
        <v>500000</v>
      </c>
      <c r="L898" s="3"/>
      <c r="M898" s="3">
        <v>-500000</v>
      </c>
      <c r="N898" s="1">
        <v>0</v>
      </c>
      <c r="O898" s="1">
        <v>1</v>
      </c>
      <c r="P898" s="1">
        <v>0</v>
      </c>
      <c r="Q898" s="3"/>
      <c r="R898" s="3"/>
      <c r="S898" s="3">
        <v>-500000</v>
      </c>
      <c r="T898" s="1">
        <v>1.3205480000000001</v>
      </c>
      <c r="U898" s="3"/>
      <c r="V898" s="3"/>
      <c r="X898" s="1">
        <v>-500000</v>
      </c>
      <c r="Y898" s="22">
        <v>1.3205480000000001</v>
      </c>
      <c r="Z898" s="4">
        <f>Table1[[#This Row],[totalTimeKept]]*$AD$3</f>
        <v>19808.22</v>
      </c>
      <c r="AA898" s="4">
        <f>Y898-Z898</f>
        <v>-19806.899452000001</v>
      </c>
    </row>
    <row r="899" spans="1:27" x14ac:dyDescent="0.3">
      <c r="A899" s="1">
        <v>11142736</v>
      </c>
      <c r="B899" s="1" t="s">
        <v>1404</v>
      </c>
      <c r="C899" s="1" t="s">
        <v>1173</v>
      </c>
      <c r="D899" s="1">
        <v>9495239</v>
      </c>
      <c r="E899" s="1">
        <v>0</v>
      </c>
      <c r="F899" s="1" t="s">
        <v>25</v>
      </c>
      <c r="G899" s="1" t="s">
        <v>349</v>
      </c>
      <c r="H899" s="2">
        <v>44681</v>
      </c>
      <c r="I899" s="2" t="s">
        <v>25</v>
      </c>
      <c r="J899" s="2">
        <v>44871</v>
      </c>
      <c r="K899" s="3"/>
      <c r="L899" s="3">
        <v>275000</v>
      </c>
      <c r="M899" s="3">
        <v>275000</v>
      </c>
      <c r="N899" s="1">
        <v>1</v>
      </c>
      <c r="O899" s="1">
        <v>0</v>
      </c>
      <c r="P899" s="1">
        <v>1</v>
      </c>
      <c r="Q899" s="3"/>
      <c r="R899" s="3"/>
      <c r="S899" s="3">
        <v>275000</v>
      </c>
      <c r="T899" s="1">
        <v>0.52054789999999995</v>
      </c>
      <c r="U899" s="3"/>
      <c r="V899" s="3"/>
      <c r="X899" s="1">
        <v>275000</v>
      </c>
      <c r="Y899" s="22">
        <v>0.52054789999999995</v>
      </c>
      <c r="Z899" s="4">
        <f>Table1[[#This Row],[totalTimeKept]]*$AD$3</f>
        <v>7808.218499999999</v>
      </c>
      <c r="AA899" s="4">
        <f>Y899-Z899</f>
        <v>-7807.6979520999994</v>
      </c>
    </row>
    <row r="900" spans="1:27" x14ac:dyDescent="0.3">
      <c r="A900" s="1">
        <v>11142737</v>
      </c>
      <c r="B900" s="1" t="s">
        <v>1405</v>
      </c>
      <c r="C900" s="1" t="s">
        <v>173</v>
      </c>
      <c r="D900" s="1">
        <v>7488349</v>
      </c>
      <c r="E900" s="1">
        <v>0</v>
      </c>
      <c r="F900" s="1" t="s">
        <v>25</v>
      </c>
      <c r="G900" s="1" t="s">
        <v>349</v>
      </c>
      <c r="H900" s="2">
        <v>44682</v>
      </c>
      <c r="I900" s="2" t="s">
        <v>25</v>
      </c>
      <c r="J900" s="2">
        <v>44874</v>
      </c>
      <c r="K900" s="3"/>
      <c r="L900" s="3">
        <v>170000</v>
      </c>
      <c r="M900" s="3">
        <v>170000</v>
      </c>
      <c r="N900" s="1">
        <v>1</v>
      </c>
      <c r="O900" s="1">
        <v>0</v>
      </c>
      <c r="P900" s="1">
        <v>1</v>
      </c>
      <c r="Q900" s="3"/>
      <c r="R900" s="3"/>
      <c r="S900" s="3">
        <v>170000</v>
      </c>
      <c r="T900" s="1">
        <v>0.52602740000000003</v>
      </c>
      <c r="U900" s="3"/>
      <c r="V900" s="3"/>
      <c r="X900" s="1">
        <v>170000</v>
      </c>
      <c r="Y900" s="22">
        <v>0.52602740000000003</v>
      </c>
      <c r="Z900" s="4">
        <f>Table1[[#This Row],[totalTimeKept]]*$AD$3</f>
        <v>7890.4110000000001</v>
      </c>
      <c r="AA900" s="4">
        <f>Y900-Z900</f>
        <v>-7889.8849725999999</v>
      </c>
    </row>
    <row r="901" spans="1:27" x14ac:dyDescent="0.3">
      <c r="A901" s="1">
        <v>11142739</v>
      </c>
      <c r="B901" s="1" t="s">
        <v>1406</v>
      </c>
      <c r="C901" s="1" t="s">
        <v>1288</v>
      </c>
      <c r="D901" s="1">
        <v>8613598</v>
      </c>
      <c r="E901" s="1">
        <v>0</v>
      </c>
      <c r="F901" s="1" t="s">
        <v>25</v>
      </c>
      <c r="G901" s="1" t="s">
        <v>46</v>
      </c>
      <c r="H901" s="2">
        <v>44685</v>
      </c>
      <c r="I901" s="2" t="s">
        <v>25</v>
      </c>
      <c r="J901" s="2">
        <v>45182</v>
      </c>
      <c r="K901" s="3"/>
      <c r="L901" s="3">
        <v>525000</v>
      </c>
      <c r="M901" s="3">
        <v>525000</v>
      </c>
      <c r="N901" s="1">
        <v>1</v>
      </c>
      <c r="O901" s="1">
        <v>0</v>
      </c>
      <c r="P901" s="1">
        <v>1</v>
      </c>
      <c r="Q901" s="3"/>
      <c r="R901" s="3"/>
      <c r="S901" s="3">
        <v>525000</v>
      </c>
      <c r="T901" s="1">
        <v>1.3616440000000001</v>
      </c>
      <c r="U901" s="3"/>
      <c r="V901" s="3"/>
      <c r="X901" s="1">
        <v>525000</v>
      </c>
      <c r="Y901" s="22">
        <v>1.3616440000000001</v>
      </c>
      <c r="Z901" s="4">
        <f>Table1[[#This Row],[totalTimeKept]]*$AD$3</f>
        <v>20424.66</v>
      </c>
      <c r="AA901" s="4">
        <f>Y901-Z901</f>
        <v>-20423.298355999999</v>
      </c>
    </row>
    <row r="902" spans="1:27" x14ac:dyDescent="0.3">
      <c r="A902" s="1">
        <v>11142741</v>
      </c>
      <c r="B902" s="1" t="s">
        <v>1407</v>
      </c>
      <c r="C902" s="1" t="s">
        <v>612</v>
      </c>
      <c r="D902" s="1">
        <v>6559714</v>
      </c>
      <c r="E902" s="1">
        <v>0</v>
      </c>
      <c r="F902" s="1" t="s">
        <v>25</v>
      </c>
      <c r="G902" s="1" t="s">
        <v>46</v>
      </c>
      <c r="H902" s="2">
        <v>44693</v>
      </c>
      <c r="I902" s="2" t="s">
        <v>25</v>
      </c>
      <c r="J902" s="2">
        <v>45188</v>
      </c>
      <c r="K902" s="3"/>
      <c r="L902" s="3">
        <v>30000</v>
      </c>
      <c r="M902" s="3">
        <v>30000</v>
      </c>
      <c r="N902" s="1">
        <v>1</v>
      </c>
      <c r="O902" s="1">
        <v>0</v>
      </c>
      <c r="P902" s="1">
        <v>1</v>
      </c>
      <c r="Q902" s="3"/>
      <c r="R902" s="3"/>
      <c r="S902" s="3">
        <v>30000</v>
      </c>
      <c r="T902" s="1">
        <v>1.3561639999999999</v>
      </c>
      <c r="U902" s="3"/>
      <c r="V902" s="3"/>
      <c r="X902" s="1">
        <v>30000</v>
      </c>
      <c r="Y902" s="22">
        <v>1.3561639999999999</v>
      </c>
      <c r="Z902" s="4">
        <f>Table1[[#This Row],[totalTimeKept]]*$AD$3</f>
        <v>20342.46</v>
      </c>
      <c r="AA902" s="4">
        <f>Y902-Z902</f>
        <v>-20341.103835999998</v>
      </c>
    </row>
    <row r="903" spans="1:27" x14ac:dyDescent="0.3">
      <c r="A903" s="1">
        <v>11143368</v>
      </c>
      <c r="B903" s="1" t="s">
        <v>1408</v>
      </c>
      <c r="C903" s="1" t="s">
        <v>215</v>
      </c>
      <c r="D903" s="1">
        <v>7877979</v>
      </c>
      <c r="E903" s="1">
        <v>0</v>
      </c>
      <c r="F903" s="1" t="s">
        <v>25</v>
      </c>
      <c r="G903" s="1" t="s">
        <v>46</v>
      </c>
      <c r="H903" s="2">
        <v>44665</v>
      </c>
      <c r="I903" s="2" t="s">
        <v>25</v>
      </c>
      <c r="J903" s="2">
        <v>45187</v>
      </c>
      <c r="K903" s="3"/>
      <c r="L903" s="3">
        <v>80000</v>
      </c>
      <c r="M903" s="3">
        <v>80000</v>
      </c>
      <c r="N903" s="1">
        <v>1</v>
      </c>
      <c r="O903" s="1">
        <v>0</v>
      </c>
      <c r="P903" s="1">
        <v>1</v>
      </c>
      <c r="Q903" s="3"/>
      <c r="R903" s="3"/>
      <c r="S903" s="3">
        <v>80000</v>
      </c>
      <c r="T903" s="1">
        <v>1.430137</v>
      </c>
      <c r="U903" s="3"/>
      <c r="V903" s="3"/>
      <c r="X903" s="1">
        <v>80000</v>
      </c>
      <c r="Y903" s="22">
        <v>1.430137</v>
      </c>
      <c r="Z903" s="4">
        <f>Table1[[#This Row],[totalTimeKept]]*$AD$3</f>
        <v>21452.055</v>
      </c>
      <c r="AA903" s="4">
        <f>Y903-Z903</f>
        <v>-21450.624863000001</v>
      </c>
    </row>
    <row r="904" spans="1:27" x14ac:dyDescent="0.3">
      <c r="A904" s="1">
        <v>11143905</v>
      </c>
      <c r="B904" s="1" t="s">
        <v>1409</v>
      </c>
      <c r="C904" s="1" t="s">
        <v>1410</v>
      </c>
      <c r="D904" s="1">
        <v>10092338</v>
      </c>
      <c r="E904" s="1">
        <v>0</v>
      </c>
      <c r="F904" s="1" t="s">
        <v>46</v>
      </c>
      <c r="G904" s="1" t="s">
        <v>25</v>
      </c>
      <c r="H904" s="2">
        <v>44656</v>
      </c>
      <c r="I904" s="2">
        <v>45185</v>
      </c>
      <c r="J904" s="1" t="s">
        <v>25</v>
      </c>
      <c r="K904" s="3">
        <v>270000</v>
      </c>
      <c r="L904" s="3"/>
      <c r="M904" s="3">
        <v>-270000</v>
      </c>
      <c r="N904" s="1">
        <v>0</v>
      </c>
      <c r="O904" s="1">
        <v>1</v>
      </c>
      <c r="P904" s="1">
        <v>0</v>
      </c>
      <c r="Q904" s="3"/>
      <c r="R904" s="3"/>
      <c r="S904" s="3">
        <v>-270000</v>
      </c>
      <c r="T904" s="1">
        <v>1.424658</v>
      </c>
      <c r="U904" s="3"/>
      <c r="V904" s="3"/>
      <c r="X904" s="1">
        <v>-270000</v>
      </c>
      <c r="Y904" s="22">
        <v>1.424658</v>
      </c>
      <c r="Z904" s="4">
        <f>Table1[[#This Row],[totalTimeKept]]*$AD$3</f>
        <v>21369.87</v>
      </c>
      <c r="AA904" s="4">
        <f>Y904-Z904</f>
        <v>-21368.445341999999</v>
      </c>
    </row>
    <row r="905" spans="1:27" x14ac:dyDescent="0.3">
      <c r="A905" s="1">
        <v>11145186</v>
      </c>
      <c r="B905" s="1" t="s">
        <v>1411</v>
      </c>
      <c r="C905" s="1" t="s">
        <v>1412</v>
      </c>
      <c r="D905" s="1">
        <v>8063817</v>
      </c>
      <c r="E905" s="1">
        <v>5400</v>
      </c>
      <c r="F905" s="1" t="s">
        <v>46</v>
      </c>
      <c r="G905" s="1" t="s">
        <v>25</v>
      </c>
      <c r="H905" s="2">
        <v>44695</v>
      </c>
      <c r="I905" s="2">
        <v>45180</v>
      </c>
      <c r="J905" s="1" t="s">
        <v>25</v>
      </c>
      <c r="K905" s="3">
        <v>525000</v>
      </c>
      <c r="L905" s="3"/>
      <c r="M905" s="3">
        <v>-525000</v>
      </c>
      <c r="N905" s="1">
        <v>0</v>
      </c>
      <c r="O905" s="1">
        <v>1</v>
      </c>
      <c r="P905" s="1">
        <v>0</v>
      </c>
      <c r="Q905" s="3"/>
      <c r="R905" s="3"/>
      <c r="S905" s="3">
        <v>-519600</v>
      </c>
      <c r="T905" s="1">
        <v>1.438356</v>
      </c>
      <c r="U905" s="3"/>
      <c r="V905" s="3"/>
      <c r="X905" s="1">
        <v>-519600</v>
      </c>
      <c r="Y905" s="22">
        <v>1.438356</v>
      </c>
      <c r="Z905" s="4">
        <f>Table1[[#This Row],[totalTimeKept]]*$AD$3</f>
        <v>21575.34</v>
      </c>
      <c r="AA905" s="4">
        <f>Y905-Z905</f>
        <v>-21573.901644000001</v>
      </c>
    </row>
    <row r="906" spans="1:27" x14ac:dyDescent="0.3">
      <c r="A906" s="1">
        <v>11145479</v>
      </c>
      <c r="B906" s="1" t="s">
        <v>1413</v>
      </c>
      <c r="C906" s="1" t="s">
        <v>938</v>
      </c>
      <c r="D906" s="1">
        <v>8076646</v>
      </c>
      <c r="E906" s="1">
        <v>0</v>
      </c>
      <c r="F906" s="1" t="s">
        <v>25</v>
      </c>
      <c r="G906" s="1" t="s">
        <v>46</v>
      </c>
      <c r="H906" s="2">
        <v>44703</v>
      </c>
      <c r="I906" s="2" t="s">
        <v>25</v>
      </c>
      <c r="J906" s="2">
        <v>45186</v>
      </c>
      <c r="K906" s="3"/>
      <c r="L906" s="3">
        <v>30000</v>
      </c>
      <c r="M906" s="3">
        <v>30000</v>
      </c>
      <c r="N906" s="1">
        <v>1</v>
      </c>
      <c r="O906" s="1">
        <v>0</v>
      </c>
      <c r="P906" s="1">
        <v>1</v>
      </c>
      <c r="Q906" s="3"/>
      <c r="R906" s="3"/>
      <c r="S906" s="3">
        <v>30000</v>
      </c>
      <c r="T906" s="1">
        <v>1.323288</v>
      </c>
      <c r="U906" s="3"/>
      <c r="V906" s="3"/>
      <c r="X906" s="1">
        <v>30000</v>
      </c>
      <c r="Y906" s="22">
        <v>1.323288</v>
      </c>
      <c r="Z906" s="4">
        <f>Table1[[#This Row],[totalTimeKept]]*$AD$3</f>
        <v>19849.32</v>
      </c>
      <c r="AA906" s="4">
        <f>Y906-Z906</f>
        <v>-19847.996712</v>
      </c>
    </row>
    <row r="907" spans="1:27" x14ac:dyDescent="0.3">
      <c r="A907" s="1">
        <v>11145487</v>
      </c>
      <c r="B907" s="1" t="s">
        <v>1414</v>
      </c>
      <c r="C907" s="1" t="s">
        <v>874</v>
      </c>
      <c r="D907" s="1">
        <v>7758346</v>
      </c>
      <c r="E907" s="1">
        <v>0</v>
      </c>
      <c r="F907" s="1" t="s">
        <v>25</v>
      </c>
      <c r="G907" s="1" t="s">
        <v>349</v>
      </c>
      <c r="H907" s="2">
        <v>44704</v>
      </c>
      <c r="I907" s="2" t="s">
        <v>25</v>
      </c>
      <c r="J907" s="2">
        <v>44872</v>
      </c>
      <c r="K907" s="3"/>
      <c r="L907" s="3">
        <v>225000</v>
      </c>
      <c r="M907" s="3">
        <v>225000</v>
      </c>
      <c r="N907" s="1">
        <v>1</v>
      </c>
      <c r="O907" s="1">
        <v>0</v>
      </c>
      <c r="P907" s="1">
        <v>1</v>
      </c>
      <c r="Q907" s="3"/>
      <c r="R907" s="3"/>
      <c r="S907" s="3">
        <v>225000</v>
      </c>
      <c r="T907" s="1">
        <v>0.46027400000000002</v>
      </c>
      <c r="U907" s="3"/>
      <c r="V907" s="3"/>
      <c r="X907" s="1">
        <v>225000</v>
      </c>
      <c r="Y907" s="22">
        <v>0.46027400000000002</v>
      </c>
      <c r="Z907" s="4">
        <f>Table1[[#This Row],[totalTimeKept]]*$AD$3</f>
        <v>6904.1100000000006</v>
      </c>
      <c r="AA907" s="4">
        <f>Y907-Z907</f>
        <v>-6903.6497260000006</v>
      </c>
    </row>
    <row r="908" spans="1:27" x14ac:dyDescent="0.3">
      <c r="A908" s="1">
        <v>11147269</v>
      </c>
      <c r="B908" s="1" t="s">
        <v>1415</v>
      </c>
      <c r="C908" s="1" t="s">
        <v>144</v>
      </c>
      <c r="D908" s="1">
        <v>7179912</v>
      </c>
      <c r="E908" s="1">
        <v>0</v>
      </c>
      <c r="F908" s="1" t="s">
        <v>25</v>
      </c>
      <c r="G908" s="1" t="s">
        <v>46</v>
      </c>
      <c r="H908" s="2">
        <v>44686</v>
      </c>
      <c r="I908" s="2" t="s">
        <v>25</v>
      </c>
      <c r="J908" s="2">
        <v>45188</v>
      </c>
      <c r="K908" s="3"/>
      <c r="L908" s="3">
        <v>75000</v>
      </c>
      <c r="M908" s="3">
        <v>75000</v>
      </c>
      <c r="N908" s="1">
        <v>1</v>
      </c>
      <c r="O908" s="1">
        <v>0</v>
      </c>
      <c r="P908" s="1">
        <v>1</v>
      </c>
      <c r="Q908" s="3"/>
      <c r="R908" s="3"/>
      <c r="S908" s="3">
        <v>75000</v>
      </c>
      <c r="T908" s="1">
        <v>1.3753420000000001</v>
      </c>
      <c r="U908" s="3"/>
      <c r="V908" s="3"/>
      <c r="X908" s="1">
        <v>75000</v>
      </c>
      <c r="Y908" s="22">
        <v>1.3753420000000001</v>
      </c>
      <c r="Z908" s="4">
        <f>Table1[[#This Row],[totalTimeKept]]*$AD$3</f>
        <v>20630.13</v>
      </c>
      <c r="AA908" s="4">
        <f>Y908-Z908</f>
        <v>-20628.754658000002</v>
      </c>
    </row>
    <row r="909" spans="1:27" x14ac:dyDescent="0.3">
      <c r="A909" s="1">
        <v>11149660</v>
      </c>
      <c r="B909" s="1" t="s">
        <v>1416</v>
      </c>
      <c r="C909" s="1" t="s">
        <v>1417</v>
      </c>
      <c r="D909" s="1">
        <v>8332988</v>
      </c>
      <c r="E909" s="1">
        <v>0</v>
      </c>
      <c r="F909" s="1" t="s">
        <v>46</v>
      </c>
      <c r="G909" s="1" t="s">
        <v>25</v>
      </c>
      <c r="H909" s="2">
        <v>44696</v>
      </c>
      <c r="I909" s="2">
        <v>45184</v>
      </c>
      <c r="J909" s="1" t="s">
        <v>25</v>
      </c>
      <c r="K909" s="3">
        <v>425000</v>
      </c>
      <c r="L909" s="3"/>
      <c r="M909" s="3">
        <v>-425000</v>
      </c>
      <c r="N909" s="1">
        <v>0</v>
      </c>
      <c r="O909" s="1">
        <v>1</v>
      </c>
      <c r="P909" s="1">
        <v>0</v>
      </c>
      <c r="Q909" s="3"/>
      <c r="R909" s="3"/>
      <c r="S909" s="3">
        <v>-425000</v>
      </c>
      <c r="T909" s="1">
        <v>1.427397</v>
      </c>
      <c r="U909" s="3"/>
      <c r="V909" s="3"/>
      <c r="X909" s="1">
        <v>-425000</v>
      </c>
      <c r="Y909" s="22">
        <v>1.427397</v>
      </c>
      <c r="Z909" s="4">
        <f>Table1[[#This Row],[totalTimeKept]]*$AD$3</f>
        <v>21410.955000000002</v>
      </c>
      <c r="AA909" s="4">
        <f>Y909-Z909</f>
        <v>-21409.527603000002</v>
      </c>
    </row>
    <row r="910" spans="1:27" x14ac:dyDescent="0.3">
      <c r="A910" s="1">
        <v>11150463</v>
      </c>
      <c r="B910" s="1" t="s">
        <v>1418</v>
      </c>
      <c r="C910" s="1" t="s">
        <v>1419</v>
      </c>
      <c r="D910" s="1">
        <v>9280926</v>
      </c>
      <c r="E910" s="1">
        <v>206985</v>
      </c>
      <c r="F910" s="1" t="s">
        <v>46</v>
      </c>
      <c r="G910" s="1" t="s">
        <v>25</v>
      </c>
      <c r="H910" s="2">
        <v>44653</v>
      </c>
      <c r="I910" s="2">
        <v>45191</v>
      </c>
      <c r="J910" s="2" t="s">
        <v>25</v>
      </c>
      <c r="K910" s="3">
        <v>185000</v>
      </c>
      <c r="L910" s="3"/>
      <c r="M910" s="3">
        <v>-185000</v>
      </c>
      <c r="N910" s="1">
        <v>0</v>
      </c>
      <c r="O910" s="1">
        <v>1</v>
      </c>
      <c r="P910" s="1">
        <v>0</v>
      </c>
      <c r="Q910" s="3"/>
      <c r="R910" s="3"/>
      <c r="S910" s="3">
        <v>21985</v>
      </c>
      <c r="T910" s="1">
        <v>1.4082190000000001</v>
      </c>
      <c r="U910" s="3"/>
      <c r="V910" s="3"/>
      <c r="X910" s="1">
        <v>21985</v>
      </c>
      <c r="Y910" s="22">
        <v>1.4082190000000001</v>
      </c>
      <c r="Z910" s="4">
        <f>Table1[[#This Row],[totalTimeKept]]*$AD$3</f>
        <v>21123.285</v>
      </c>
      <c r="AA910" s="4">
        <f>Y910-Z910</f>
        <v>-21121.876780999999</v>
      </c>
    </row>
    <row r="911" spans="1:27" x14ac:dyDescent="0.3">
      <c r="A911" s="1">
        <v>11150603</v>
      </c>
      <c r="B911" s="1" t="s">
        <v>1420</v>
      </c>
      <c r="C911" s="1" t="s">
        <v>1421</v>
      </c>
      <c r="D911" s="1">
        <v>10286326</v>
      </c>
      <c r="E911" s="1">
        <v>23500</v>
      </c>
      <c r="F911" s="1" t="s">
        <v>46</v>
      </c>
      <c r="G911" s="1" t="s">
        <v>25</v>
      </c>
      <c r="H911" s="2">
        <v>44669</v>
      </c>
      <c r="I911" s="2">
        <v>45182</v>
      </c>
      <c r="J911" s="1" t="s">
        <v>25</v>
      </c>
      <c r="K911" s="3">
        <v>775000</v>
      </c>
      <c r="L911" s="3"/>
      <c r="M911" s="3">
        <v>-775000</v>
      </c>
      <c r="N911" s="1">
        <v>0</v>
      </c>
      <c r="O911" s="1">
        <v>1</v>
      </c>
      <c r="P911" s="1">
        <v>0</v>
      </c>
      <c r="Q911" s="3"/>
      <c r="R911" s="3"/>
      <c r="S911" s="3">
        <v>-751500</v>
      </c>
      <c r="T911" s="1">
        <v>1.432877</v>
      </c>
      <c r="U911" s="3"/>
      <c r="V911" s="3"/>
      <c r="X911" s="1">
        <v>-751500</v>
      </c>
      <c r="Y911" s="22">
        <v>1.432877</v>
      </c>
      <c r="Z911" s="4">
        <f>Table1[[#This Row],[totalTimeKept]]*$AD$3</f>
        <v>21493.154999999999</v>
      </c>
      <c r="AA911" s="4">
        <f>Y911-Z911</f>
        <v>-21491.722123</v>
      </c>
    </row>
    <row r="912" spans="1:27" x14ac:dyDescent="0.3">
      <c r="A912" s="1">
        <v>11150604</v>
      </c>
      <c r="B912" s="1" t="s">
        <v>1422</v>
      </c>
      <c r="C912" s="1" t="s">
        <v>161</v>
      </c>
      <c r="D912" s="1">
        <v>7443895</v>
      </c>
      <c r="E912" s="1">
        <v>0</v>
      </c>
      <c r="F912" s="1" t="s">
        <v>25</v>
      </c>
      <c r="G912" s="1" t="s">
        <v>46</v>
      </c>
      <c r="H912" s="2">
        <v>44671</v>
      </c>
      <c r="I912" s="2" t="s">
        <v>25</v>
      </c>
      <c r="J912" s="2">
        <v>45184</v>
      </c>
      <c r="K912" s="3"/>
      <c r="L912" s="3">
        <v>80000</v>
      </c>
      <c r="M912" s="3">
        <v>80000</v>
      </c>
      <c r="N912" s="1">
        <v>1</v>
      </c>
      <c r="O912" s="1">
        <v>0</v>
      </c>
      <c r="P912" s="1">
        <v>1</v>
      </c>
      <c r="Q912" s="3"/>
      <c r="R912" s="3"/>
      <c r="S912" s="3">
        <v>80000</v>
      </c>
      <c r="T912" s="1">
        <v>1.4054789999999999</v>
      </c>
      <c r="U912" s="3"/>
      <c r="V912" s="3"/>
      <c r="X912" s="1">
        <v>80000</v>
      </c>
      <c r="Y912" s="22">
        <v>1.4054789999999999</v>
      </c>
      <c r="Z912" s="4">
        <f>Table1[[#This Row],[totalTimeKept]]*$AD$3</f>
        <v>21082.184999999998</v>
      </c>
      <c r="AA912" s="4">
        <f>Y912-Z912</f>
        <v>-21080.779520999997</v>
      </c>
    </row>
    <row r="913" spans="1:27" x14ac:dyDescent="0.3">
      <c r="A913" s="1">
        <v>11161997</v>
      </c>
      <c r="B913" s="1" t="s">
        <v>1423</v>
      </c>
      <c r="C913" s="1" t="s">
        <v>1424</v>
      </c>
      <c r="D913" s="1">
        <v>9283868</v>
      </c>
      <c r="E913" s="1">
        <v>0</v>
      </c>
      <c r="F913" s="1" t="s">
        <v>46</v>
      </c>
      <c r="G913" s="1" t="s">
        <v>25</v>
      </c>
      <c r="H913" s="2">
        <v>44683</v>
      </c>
      <c r="I913" s="2">
        <v>45184</v>
      </c>
      <c r="J913" s="1" t="s">
        <v>25</v>
      </c>
      <c r="K913" s="3">
        <v>875000</v>
      </c>
      <c r="L913" s="3"/>
      <c r="M913" s="3">
        <v>-875000</v>
      </c>
      <c r="N913" s="1">
        <v>0</v>
      </c>
      <c r="O913" s="1">
        <v>1</v>
      </c>
      <c r="P913" s="1">
        <v>0</v>
      </c>
      <c r="Q913" s="3"/>
      <c r="R913" s="3"/>
      <c r="S913" s="3">
        <v>-875000</v>
      </c>
      <c r="T913" s="1">
        <v>1.427397</v>
      </c>
      <c r="U913" s="3"/>
      <c r="V913" s="3"/>
      <c r="X913" s="1">
        <v>-875000</v>
      </c>
      <c r="Y913" s="22">
        <v>1.427397</v>
      </c>
      <c r="Z913" s="4">
        <f>Table1[[#This Row],[totalTimeKept]]*$AD$3</f>
        <v>21410.955000000002</v>
      </c>
      <c r="AA913" s="4">
        <f>Y913-Z913</f>
        <v>-21409.527603000002</v>
      </c>
    </row>
    <row r="914" spans="1:27" x14ac:dyDescent="0.3">
      <c r="A914" s="1">
        <v>11163621</v>
      </c>
      <c r="B914" s="1" t="s">
        <v>1425</v>
      </c>
      <c r="C914" s="1" t="s">
        <v>1426</v>
      </c>
      <c r="D914" s="1">
        <v>8052554</v>
      </c>
      <c r="E914" s="1">
        <v>10800</v>
      </c>
      <c r="F914" s="1" t="s">
        <v>46</v>
      </c>
      <c r="G914" s="1" t="s">
        <v>25</v>
      </c>
      <c r="H914" s="2">
        <v>44701</v>
      </c>
      <c r="I914" s="2">
        <v>45183</v>
      </c>
      <c r="J914" s="1" t="s">
        <v>25</v>
      </c>
      <c r="K914" s="3">
        <v>485000</v>
      </c>
      <c r="L914" s="3"/>
      <c r="M914" s="3">
        <v>-485000</v>
      </c>
      <c r="N914" s="1">
        <v>0</v>
      </c>
      <c r="O914" s="1">
        <v>1</v>
      </c>
      <c r="P914" s="1">
        <v>0</v>
      </c>
      <c r="Q914" s="3"/>
      <c r="R914" s="3"/>
      <c r="S914" s="3">
        <v>-474200</v>
      </c>
      <c r="T914" s="1">
        <v>1.430137</v>
      </c>
      <c r="U914" s="3"/>
      <c r="V914" s="3"/>
      <c r="X914" s="1">
        <v>-474200</v>
      </c>
      <c r="Y914" s="22">
        <v>1.430137</v>
      </c>
      <c r="Z914" s="4">
        <f>Table1[[#This Row],[totalTimeKept]]*$AD$3</f>
        <v>21452.055</v>
      </c>
      <c r="AA914" s="4">
        <f>Y914-Z914</f>
        <v>-21450.624863000001</v>
      </c>
    </row>
    <row r="915" spans="1:27" x14ac:dyDescent="0.3">
      <c r="A915" s="1">
        <v>11164343</v>
      </c>
      <c r="B915" s="1" t="s">
        <v>1427</v>
      </c>
      <c r="C915" s="1" t="s">
        <v>798</v>
      </c>
      <c r="D915" s="1">
        <v>10087445</v>
      </c>
      <c r="E915" s="1">
        <v>0</v>
      </c>
      <c r="F915" s="1" t="s">
        <v>25</v>
      </c>
      <c r="G915" s="1" t="s">
        <v>46</v>
      </c>
      <c r="H915" s="2">
        <v>44680</v>
      </c>
      <c r="I915" s="2" t="s">
        <v>25</v>
      </c>
      <c r="J915" s="2">
        <v>45191</v>
      </c>
      <c r="K915" s="3"/>
      <c r="L915" s="3">
        <v>1500</v>
      </c>
      <c r="M915" s="3">
        <v>1500</v>
      </c>
      <c r="N915" s="1">
        <v>1</v>
      </c>
      <c r="O915" s="1">
        <v>0</v>
      </c>
      <c r="P915" s="1">
        <v>1</v>
      </c>
      <c r="Q915" s="3"/>
      <c r="R915" s="3"/>
      <c r="S915" s="3">
        <v>1500</v>
      </c>
      <c r="T915" s="1">
        <v>1.4</v>
      </c>
      <c r="U915" s="3"/>
      <c r="V915" s="3"/>
      <c r="X915" s="1">
        <v>1500</v>
      </c>
      <c r="Y915" s="22">
        <v>1.4</v>
      </c>
      <c r="Z915" s="4">
        <f>Table1[[#This Row],[totalTimeKept]]*$AD$3</f>
        <v>21000</v>
      </c>
      <c r="AA915" s="4">
        <f>Y915-Z915</f>
        <v>-20998.6</v>
      </c>
    </row>
    <row r="916" spans="1:27" x14ac:dyDescent="0.3">
      <c r="A916" s="1">
        <v>11164351</v>
      </c>
      <c r="B916" s="1" t="s">
        <v>1428</v>
      </c>
      <c r="C916" s="1" t="s">
        <v>1019</v>
      </c>
      <c r="D916" s="1">
        <v>8587309</v>
      </c>
      <c r="E916" s="1">
        <v>0</v>
      </c>
      <c r="F916" s="1" t="s">
        <v>25</v>
      </c>
      <c r="G916" s="1" t="s">
        <v>349</v>
      </c>
      <c r="H916" s="2">
        <v>44672</v>
      </c>
      <c r="I916" s="2" t="s">
        <v>25</v>
      </c>
      <c r="J916" s="2">
        <v>44879</v>
      </c>
      <c r="K916" s="3"/>
      <c r="L916" s="3">
        <v>30000</v>
      </c>
      <c r="M916" s="3">
        <v>30000</v>
      </c>
      <c r="N916" s="1">
        <v>1</v>
      </c>
      <c r="O916" s="1">
        <v>0</v>
      </c>
      <c r="P916" s="1">
        <v>1</v>
      </c>
      <c r="Q916" s="3"/>
      <c r="R916" s="3"/>
      <c r="S916" s="3">
        <v>30000</v>
      </c>
      <c r="T916" s="1">
        <v>0.5671233</v>
      </c>
      <c r="U916" s="3"/>
      <c r="V916" s="3"/>
      <c r="X916" s="1">
        <v>30000</v>
      </c>
      <c r="Y916" s="22">
        <v>0.5671233</v>
      </c>
      <c r="Z916" s="4">
        <f>Table1[[#This Row],[totalTimeKept]]*$AD$3</f>
        <v>8506.8495000000003</v>
      </c>
      <c r="AA916" s="4">
        <f>Y916-Z916</f>
        <v>-8506.2823767000009</v>
      </c>
    </row>
    <row r="917" spans="1:27" x14ac:dyDescent="0.3">
      <c r="A917" s="1">
        <v>11171188</v>
      </c>
      <c r="B917" s="1" t="s">
        <v>1429</v>
      </c>
      <c r="C917" s="1" t="s">
        <v>783</v>
      </c>
      <c r="D917" s="1">
        <v>10077549</v>
      </c>
      <c r="E917" s="1">
        <v>0</v>
      </c>
      <c r="F917" s="1" t="s">
        <v>25</v>
      </c>
      <c r="G917" s="1" t="s">
        <v>46</v>
      </c>
      <c r="H917" s="2">
        <v>44662</v>
      </c>
      <c r="I917" s="2" t="s">
        <v>25</v>
      </c>
      <c r="J917" s="2">
        <v>44935</v>
      </c>
      <c r="K917" s="3"/>
      <c r="L917" s="3">
        <v>20000</v>
      </c>
      <c r="M917" s="3">
        <v>20000</v>
      </c>
      <c r="N917" s="1">
        <v>1</v>
      </c>
      <c r="O917" s="1">
        <v>0</v>
      </c>
      <c r="P917" s="1">
        <v>1</v>
      </c>
      <c r="Q917" s="3"/>
      <c r="R917" s="3"/>
      <c r="S917" s="3">
        <v>20000</v>
      </c>
      <c r="T917" s="1">
        <v>0.74794519999999998</v>
      </c>
      <c r="U917" s="3"/>
      <c r="V917" s="3"/>
      <c r="X917" s="1">
        <v>20000</v>
      </c>
      <c r="Y917" s="22">
        <v>0.74794519999999998</v>
      </c>
      <c r="Z917" s="4">
        <f>Table1[[#This Row],[totalTimeKept]]*$AD$3</f>
        <v>11219.178</v>
      </c>
      <c r="AA917" s="4">
        <f>Y917-Z917</f>
        <v>-11218.430054799999</v>
      </c>
    </row>
    <row r="918" spans="1:27" x14ac:dyDescent="0.3">
      <c r="A918" s="1">
        <v>11181938</v>
      </c>
      <c r="B918" s="1" t="s">
        <v>1430</v>
      </c>
      <c r="C918" s="1" t="s">
        <v>179</v>
      </c>
      <c r="D918" s="1">
        <v>7521190</v>
      </c>
      <c r="E918" s="1">
        <v>111780</v>
      </c>
      <c r="F918" s="1" t="s">
        <v>25</v>
      </c>
      <c r="G918" s="1" t="s">
        <v>25</v>
      </c>
      <c r="H918" s="2">
        <v>44264</v>
      </c>
      <c r="I918" s="2" t="s">
        <v>25</v>
      </c>
      <c r="J918" s="1" t="s">
        <v>25</v>
      </c>
      <c r="K918" s="3"/>
      <c r="L918" s="3"/>
      <c r="M918" s="3">
        <v>0</v>
      </c>
      <c r="N918" s="1">
        <v>1</v>
      </c>
      <c r="P918" s="1">
        <v>0</v>
      </c>
      <c r="Q918" s="3"/>
      <c r="R918" s="3"/>
      <c r="S918" s="3">
        <v>111780</v>
      </c>
      <c r="T918" s="1">
        <v>3.9479449999999998</v>
      </c>
      <c r="U918" s="3"/>
      <c r="V918" s="3"/>
      <c r="X918" s="1">
        <v>111780</v>
      </c>
      <c r="Y918" s="22">
        <v>3.9479449999999998</v>
      </c>
      <c r="Z918" s="4">
        <f>Table1[[#This Row],[totalTimeKept]]*$AD$3</f>
        <v>59219.174999999996</v>
      </c>
      <c r="AA918" s="4">
        <f>Y918-Z918</f>
        <v>-59215.227054999996</v>
      </c>
    </row>
    <row r="919" spans="1:27" x14ac:dyDescent="0.3">
      <c r="A919" s="1">
        <v>11185462</v>
      </c>
      <c r="B919" s="1" t="s">
        <v>1431</v>
      </c>
      <c r="C919" s="1" t="s">
        <v>759</v>
      </c>
      <c r="D919" s="1">
        <v>9949603</v>
      </c>
      <c r="E919" s="1">
        <v>0</v>
      </c>
      <c r="F919" s="1" t="s">
        <v>25</v>
      </c>
      <c r="G919" s="1" t="s">
        <v>46</v>
      </c>
      <c r="H919" s="2">
        <v>44239</v>
      </c>
      <c r="I919" s="2" t="s">
        <v>25</v>
      </c>
      <c r="J919" s="2">
        <v>44813</v>
      </c>
      <c r="K919" s="3"/>
      <c r="L919" s="3">
        <v>54995</v>
      </c>
      <c r="M919" s="3">
        <v>54995</v>
      </c>
      <c r="N919" s="1">
        <v>1</v>
      </c>
      <c r="O919" s="1">
        <v>0</v>
      </c>
      <c r="P919" s="1">
        <v>1</v>
      </c>
      <c r="Q919" s="3"/>
      <c r="R919" s="3"/>
      <c r="S919" s="3">
        <v>54995</v>
      </c>
      <c r="T919" s="1">
        <v>1.572603</v>
      </c>
      <c r="U919" s="3"/>
      <c r="V919" s="3"/>
      <c r="X919" s="1">
        <v>54995</v>
      </c>
      <c r="Y919" s="22">
        <v>1.572603</v>
      </c>
      <c r="Z919" s="4">
        <f>Table1[[#This Row],[totalTimeKept]]*$AD$3</f>
        <v>23589.044999999998</v>
      </c>
      <c r="AA919" s="4">
        <f>Y919-Z919</f>
        <v>-23587.472396999998</v>
      </c>
    </row>
    <row r="920" spans="1:27" x14ac:dyDescent="0.3">
      <c r="A920" s="1">
        <v>11277610</v>
      </c>
      <c r="B920" s="1" t="s">
        <v>1432</v>
      </c>
      <c r="C920" s="1" t="s">
        <v>1433</v>
      </c>
      <c r="D920" s="1">
        <v>8623353</v>
      </c>
      <c r="E920" s="1">
        <v>0</v>
      </c>
      <c r="F920" s="1" t="s">
        <v>46</v>
      </c>
      <c r="G920" s="1" t="s">
        <v>25</v>
      </c>
      <c r="H920" s="2">
        <v>44958</v>
      </c>
      <c r="I920" s="2">
        <v>45547</v>
      </c>
      <c r="J920" s="1" t="s">
        <v>25</v>
      </c>
      <c r="K920" s="3">
        <v>210000</v>
      </c>
      <c r="L920" s="3"/>
      <c r="M920" s="3">
        <v>-210000</v>
      </c>
      <c r="N920" s="1">
        <v>0</v>
      </c>
      <c r="O920" s="1">
        <v>1</v>
      </c>
      <c r="P920" s="1">
        <v>0</v>
      </c>
      <c r="Q920" s="3"/>
      <c r="R920" s="3"/>
      <c r="S920" s="3">
        <v>-210000</v>
      </c>
      <c r="T920" s="1">
        <v>0.4328767</v>
      </c>
      <c r="U920" s="3"/>
      <c r="V920" s="3"/>
      <c r="X920" s="1">
        <v>-210000</v>
      </c>
      <c r="Y920" s="22">
        <v>0.4328767</v>
      </c>
      <c r="Z920" s="4">
        <f>Table1[[#This Row],[totalTimeKept]]*$AD$3</f>
        <v>6493.1504999999997</v>
      </c>
      <c r="AA920" s="4">
        <f>Y920-Z920</f>
        <v>-6492.7176233</v>
      </c>
    </row>
    <row r="921" spans="1:27" x14ac:dyDescent="0.3">
      <c r="A921" s="1">
        <v>11284062</v>
      </c>
      <c r="B921" s="1" t="s">
        <v>1434</v>
      </c>
      <c r="C921" s="1" t="s">
        <v>1435</v>
      </c>
      <c r="D921" s="1">
        <v>10050456</v>
      </c>
      <c r="E921" s="1">
        <v>0</v>
      </c>
      <c r="F921" s="1" t="s">
        <v>46</v>
      </c>
      <c r="G921" s="1" t="s">
        <v>25</v>
      </c>
      <c r="H921" s="2">
        <v>44984</v>
      </c>
      <c r="I921" s="2">
        <v>45546</v>
      </c>
      <c r="J921" s="1" t="s">
        <v>25</v>
      </c>
      <c r="K921" s="3">
        <v>950000</v>
      </c>
      <c r="L921" s="3"/>
      <c r="M921" s="3">
        <v>-950000</v>
      </c>
      <c r="N921" s="1">
        <v>0</v>
      </c>
      <c r="O921" s="1">
        <v>1</v>
      </c>
      <c r="P921" s="1">
        <v>0</v>
      </c>
      <c r="Q921" s="3"/>
      <c r="R921" s="3"/>
      <c r="S921" s="3">
        <v>-950000</v>
      </c>
      <c r="T921" s="1">
        <v>0.43561640000000001</v>
      </c>
      <c r="U921" s="3"/>
      <c r="V921" s="3"/>
      <c r="X921" s="1">
        <v>-950000</v>
      </c>
      <c r="Y921" s="22">
        <v>0.43561640000000001</v>
      </c>
      <c r="Z921" s="4">
        <f>Table1[[#This Row],[totalTimeKept]]*$AD$3</f>
        <v>6534.2460000000001</v>
      </c>
      <c r="AA921" s="4">
        <f>Y921-Z921</f>
        <v>-6533.8103836</v>
      </c>
    </row>
    <row r="922" spans="1:27" x14ac:dyDescent="0.3">
      <c r="A922" s="1">
        <v>11303251</v>
      </c>
      <c r="B922" s="1" t="s">
        <v>1436</v>
      </c>
      <c r="C922" s="1" t="s">
        <v>1437</v>
      </c>
      <c r="D922" s="1">
        <v>9506813</v>
      </c>
      <c r="E922" s="1">
        <v>0</v>
      </c>
      <c r="F922" s="1" t="s">
        <v>46</v>
      </c>
      <c r="G922" s="1" t="s">
        <v>25</v>
      </c>
      <c r="H922" s="2">
        <v>44992</v>
      </c>
      <c r="I922" s="2">
        <v>45546</v>
      </c>
      <c r="J922" s="1" t="s">
        <v>25</v>
      </c>
      <c r="K922" s="3">
        <v>1050000</v>
      </c>
      <c r="L922" s="3"/>
      <c r="M922" s="3">
        <v>-1050000</v>
      </c>
      <c r="N922" s="1">
        <v>0</v>
      </c>
      <c r="O922" s="1">
        <v>1</v>
      </c>
      <c r="P922" s="1">
        <v>0</v>
      </c>
      <c r="Q922" s="3"/>
      <c r="R922" s="3"/>
      <c r="S922" s="3">
        <v>-1050000</v>
      </c>
      <c r="T922" s="1">
        <v>0.43561640000000001</v>
      </c>
      <c r="U922" s="3"/>
      <c r="V922" s="3"/>
      <c r="X922" s="1">
        <v>-1050000</v>
      </c>
      <c r="Y922" s="22">
        <v>0.43561640000000001</v>
      </c>
      <c r="Z922" s="4">
        <f>Table1[[#This Row],[totalTimeKept]]*$AD$3</f>
        <v>6534.2460000000001</v>
      </c>
      <c r="AA922" s="4">
        <f>Y922-Z922</f>
        <v>-6533.8103836</v>
      </c>
    </row>
    <row r="923" spans="1:27" x14ac:dyDescent="0.3">
      <c r="A923" s="1">
        <v>11306637</v>
      </c>
      <c r="B923" s="1" t="s">
        <v>1438</v>
      </c>
      <c r="C923" s="1" t="s">
        <v>1439</v>
      </c>
      <c r="D923" s="1">
        <v>9670854</v>
      </c>
      <c r="E923" s="1">
        <v>0</v>
      </c>
      <c r="F923" s="1" t="s">
        <v>46</v>
      </c>
      <c r="G923" s="1" t="s">
        <v>25</v>
      </c>
      <c r="H923" s="2">
        <v>45035</v>
      </c>
      <c r="I923" s="2">
        <v>45510</v>
      </c>
      <c r="J923" s="1" t="s">
        <v>25</v>
      </c>
      <c r="K923" s="3">
        <v>850000</v>
      </c>
      <c r="L923" s="3"/>
      <c r="M923" s="3">
        <v>-850000</v>
      </c>
      <c r="N923" s="1">
        <v>0</v>
      </c>
      <c r="O923" s="1">
        <v>1</v>
      </c>
      <c r="P923" s="1">
        <v>0</v>
      </c>
      <c r="Q923" s="3"/>
      <c r="R923" s="3"/>
      <c r="S923" s="3">
        <v>-850000</v>
      </c>
      <c r="T923" s="1">
        <v>0.53424660000000002</v>
      </c>
      <c r="U923" s="3"/>
      <c r="V923" s="3"/>
      <c r="X923" s="1">
        <v>-850000</v>
      </c>
      <c r="Y923" s="22">
        <v>0.53424660000000002</v>
      </c>
      <c r="Z923" s="4">
        <f>Table1[[#This Row],[totalTimeKept]]*$AD$3</f>
        <v>8013.6990000000005</v>
      </c>
      <c r="AA923" s="4">
        <f>Y923-Z923</f>
        <v>-8013.1647534000003</v>
      </c>
    </row>
    <row r="924" spans="1:27" x14ac:dyDescent="0.3">
      <c r="A924" s="1">
        <v>11314218</v>
      </c>
      <c r="B924" s="1" t="s">
        <v>1440</v>
      </c>
      <c r="C924" s="1" t="s">
        <v>1441</v>
      </c>
      <c r="D924" s="1">
        <v>9597358</v>
      </c>
      <c r="E924" s="1">
        <v>0</v>
      </c>
      <c r="F924" s="1" t="s">
        <v>46</v>
      </c>
      <c r="G924" s="1" t="s">
        <v>25</v>
      </c>
      <c r="H924" s="2">
        <v>44967</v>
      </c>
      <c r="I924" s="2">
        <v>45544</v>
      </c>
      <c r="J924" s="2" t="s">
        <v>25</v>
      </c>
      <c r="K924" s="3">
        <v>1150000</v>
      </c>
      <c r="L924" s="3"/>
      <c r="M924" s="3">
        <v>-1150000</v>
      </c>
      <c r="N924" s="1">
        <v>0</v>
      </c>
      <c r="O924" s="1">
        <v>1</v>
      </c>
      <c r="P924" s="1">
        <v>0</v>
      </c>
      <c r="Q924" s="3"/>
      <c r="R924" s="3"/>
      <c r="S924" s="3">
        <v>-1150000</v>
      </c>
      <c r="T924" s="1">
        <v>0.44109589999999999</v>
      </c>
      <c r="U924" s="3"/>
      <c r="V924" s="3"/>
      <c r="X924" s="1">
        <v>-1150000</v>
      </c>
      <c r="Y924" s="22">
        <v>0.44109589999999999</v>
      </c>
      <c r="Z924" s="4">
        <f>Table1[[#This Row],[totalTimeKept]]*$AD$3</f>
        <v>6616.4385000000002</v>
      </c>
      <c r="AA924" s="4">
        <f>Y924-Z924</f>
        <v>-6615.9974041000005</v>
      </c>
    </row>
    <row r="925" spans="1:27" x14ac:dyDescent="0.3">
      <c r="A925" s="1">
        <v>11317867</v>
      </c>
      <c r="B925" s="1" t="s">
        <v>1442</v>
      </c>
      <c r="C925" s="1" t="s">
        <v>1443</v>
      </c>
      <c r="D925" s="1">
        <v>10096949</v>
      </c>
      <c r="E925" s="1">
        <v>0</v>
      </c>
      <c r="F925" s="1" t="s">
        <v>46</v>
      </c>
      <c r="G925" s="1" t="s">
        <v>25</v>
      </c>
      <c r="H925" s="2">
        <v>45046</v>
      </c>
      <c r="I925" s="2">
        <v>45546</v>
      </c>
      <c r="J925" s="1" t="s">
        <v>25</v>
      </c>
      <c r="K925" s="3">
        <v>775000</v>
      </c>
      <c r="L925" s="3"/>
      <c r="M925" s="3">
        <v>-775000</v>
      </c>
      <c r="N925" s="1">
        <v>0</v>
      </c>
      <c r="O925" s="1">
        <v>1</v>
      </c>
      <c r="P925" s="1">
        <v>0</v>
      </c>
      <c r="Q925" s="3"/>
      <c r="R925" s="3"/>
      <c r="S925" s="3">
        <v>-775000</v>
      </c>
      <c r="T925" s="1">
        <v>0.43561640000000001</v>
      </c>
      <c r="U925" s="3"/>
      <c r="V925" s="3"/>
      <c r="X925" s="1">
        <v>-775000</v>
      </c>
      <c r="Y925" s="22">
        <v>0.43561640000000001</v>
      </c>
      <c r="Z925" s="4">
        <f>Table1[[#This Row],[totalTimeKept]]*$AD$3</f>
        <v>6534.2460000000001</v>
      </c>
      <c r="AA925" s="4">
        <f>Y925-Z925</f>
        <v>-6533.8103836</v>
      </c>
    </row>
    <row r="926" spans="1:27" x14ac:dyDescent="0.3">
      <c r="A926" s="1">
        <v>11331080</v>
      </c>
      <c r="B926" s="1" t="s">
        <v>1444</v>
      </c>
      <c r="C926" s="1" t="s">
        <v>1445</v>
      </c>
      <c r="D926" s="1">
        <v>9916984</v>
      </c>
      <c r="E926" s="1">
        <v>0</v>
      </c>
      <c r="F926" s="1" t="s">
        <v>46</v>
      </c>
      <c r="G926" s="1" t="s">
        <v>25</v>
      </c>
      <c r="H926" s="2">
        <v>45029</v>
      </c>
      <c r="I926" s="2">
        <v>45510</v>
      </c>
      <c r="J926" s="1" t="s">
        <v>25</v>
      </c>
      <c r="K926" s="3">
        <v>875000</v>
      </c>
      <c r="L926" s="3"/>
      <c r="M926" s="3">
        <v>-875000</v>
      </c>
      <c r="N926" s="1">
        <v>0</v>
      </c>
      <c r="O926" s="1">
        <v>1</v>
      </c>
      <c r="P926" s="1">
        <v>0</v>
      </c>
      <c r="Q926" s="3"/>
      <c r="R926" s="3"/>
      <c r="S926" s="3">
        <v>-875000</v>
      </c>
      <c r="T926" s="1">
        <v>0.53424660000000002</v>
      </c>
      <c r="U926" s="3"/>
      <c r="V926" s="3"/>
      <c r="X926" s="1">
        <v>-875000</v>
      </c>
      <c r="Y926" s="22">
        <v>0.53424660000000002</v>
      </c>
      <c r="Z926" s="4">
        <f>Table1[[#This Row],[totalTimeKept]]*$AD$3</f>
        <v>8013.6990000000005</v>
      </c>
      <c r="AA926" s="4">
        <f>Y926-Z926</f>
        <v>-8013.1647534000003</v>
      </c>
    </row>
    <row r="927" spans="1:27" x14ac:dyDescent="0.3">
      <c r="B927" s="1" t="s">
        <v>1446</v>
      </c>
      <c r="C927" s="1" t="s">
        <v>1447</v>
      </c>
      <c r="E927" s="1">
        <v>0</v>
      </c>
      <c r="F927" s="1" t="s">
        <v>46</v>
      </c>
      <c r="G927" s="1" t="s">
        <v>292</v>
      </c>
      <c r="H927" s="2" t="s">
        <v>25</v>
      </c>
      <c r="I927" s="2">
        <v>43356</v>
      </c>
      <c r="J927" s="2">
        <v>43782</v>
      </c>
      <c r="K927" s="3">
        <v>500000</v>
      </c>
      <c r="L927" s="3">
        <v>142000</v>
      </c>
      <c r="M927" s="3">
        <v>-358000</v>
      </c>
      <c r="O927" s="1">
        <v>1</v>
      </c>
      <c r="P927" s="1">
        <v>1</v>
      </c>
      <c r="Q927" s="3"/>
      <c r="R927" s="3"/>
      <c r="S927" s="3">
        <v>-358000</v>
      </c>
      <c r="T927" s="1">
        <v>1.1671229999999999</v>
      </c>
      <c r="U927" s="3"/>
      <c r="V927" s="3"/>
      <c r="X927" s="1">
        <v>-358000</v>
      </c>
      <c r="Y927" s="22">
        <v>1.1671229999999999</v>
      </c>
      <c r="Z927" s="4">
        <f>Table1[[#This Row],[totalTimeKept]]*$AD$3</f>
        <v>17506.844999999998</v>
      </c>
      <c r="AA927" s="4">
        <f>Y927-Z927</f>
        <v>-17505.677876999998</v>
      </c>
    </row>
    <row r="928" spans="1:27" x14ac:dyDescent="0.3">
      <c r="B928" s="1" t="s">
        <v>1448</v>
      </c>
      <c r="C928" s="1" t="s">
        <v>1449</v>
      </c>
      <c r="E928" s="1">
        <v>0</v>
      </c>
      <c r="F928" s="1" t="s">
        <v>46</v>
      </c>
      <c r="G928" s="1" t="s">
        <v>25</v>
      </c>
      <c r="H928" s="2" t="s">
        <v>25</v>
      </c>
      <c r="I928" s="2">
        <v>45545</v>
      </c>
      <c r="J928" s="1" t="s">
        <v>25</v>
      </c>
      <c r="K928" s="3">
        <v>875000</v>
      </c>
      <c r="L928" s="3"/>
      <c r="M928" s="3">
        <v>-875000</v>
      </c>
      <c r="O928" s="1">
        <v>1</v>
      </c>
      <c r="P928" s="1">
        <v>0</v>
      </c>
      <c r="Q928" s="3"/>
      <c r="R928" s="3"/>
      <c r="S928" s="3">
        <v>-875000</v>
      </c>
      <c r="T928" s="1">
        <v>0.43835619999999997</v>
      </c>
      <c r="U928" s="3"/>
      <c r="V928" s="3"/>
      <c r="X928" s="1">
        <v>-875000</v>
      </c>
      <c r="Y928" s="22">
        <v>0.43835619999999997</v>
      </c>
      <c r="Z928" s="4">
        <f>Table1[[#This Row],[totalTimeKept]]*$AD$3</f>
        <v>6575.3429999999998</v>
      </c>
      <c r="AA928" s="4">
        <f>Y928-Z928</f>
        <v>-6574.9046437999996</v>
      </c>
    </row>
    <row r="929" spans="2:27" x14ac:dyDescent="0.3">
      <c r="B929" s="1" t="s">
        <v>1450</v>
      </c>
      <c r="C929" s="1" t="s">
        <v>1451</v>
      </c>
      <c r="E929" s="1">
        <v>0</v>
      </c>
      <c r="F929" s="1" t="s">
        <v>139</v>
      </c>
      <c r="G929" s="1" t="s">
        <v>24</v>
      </c>
      <c r="H929" s="2" t="s">
        <v>25</v>
      </c>
      <c r="I929" s="2">
        <v>40880</v>
      </c>
      <c r="J929" s="2">
        <v>41251</v>
      </c>
      <c r="K929" s="3">
        <v>107120</v>
      </c>
      <c r="L929" s="3">
        <v>161575</v>
      </c>
      <c r="M929" s="3">
        <v>54455</v>
      </c>
      <c r="O929" s="1">
        <v>1</v>
      </c>
      <c r="P929" s="1">
        <v>1</v>
      </c>
      <c r="Q929" s="3"/>
      <c r="R929" s="3"/>
      <c r="S929" s="3">
        <v>54455</v>
      </c>
      <c r="T929" s="1">
        <v>1.016438</v>
      </c>
      <c r="U929" s="3"/>
      <c r="V929" s="3"/>
      <c r="X929" s="1">
        <v>54455</v>
      </c>
      <c r="Y929" s="22">
        <v>1.016438</v>
      </c>
      <c r="Z929" s="4">
        <f>Table1[[#This Row],[totalTimeKept]]*$AD$3</f>
        <v>15246.57</v>
      </c>
      <c r="AA929" s="4">
        <f>Y929-Z929</f>
        <v>-15245.553561999999</v>
      </c>
    </row>
    <row r="930" spans="2:27" x14ac:dyDescent="0.3">
      <c r="B930" s="1" t="s">
        <v>1452</v>
      </c>
      <c r="C930" s="1" t="s">
        <v>1453</v>
      </c>
      <c r="E930" s="1">
        <v>0</v>
      </c>
      <c r="F930" s="1" t="s">
        <v>139</v>
      </c>
      <c r="G930" s="1" t="s">
        <v>25</v>
      </c>
      <c r="H930" s="2" t="s">
        <v>25</v>
      </c>
      <c r="I930" s="2">
        <v>40876</v>
      </c>
      <c r="J930" s="1" t="s">
        <v>25</v>
      </c>
      <c r="K930" s="3">
        <v>113991</v>
      </c>
      <c r="L930" s="3"/>
      <c r="M930" s="3">
        <v>-113991</v>
      </c>
      <c r="O930" s="1">
        <v>1</v>
      </c>
      <c r="P930" s="1">
        <v>0</v>
      </c>
      <c r="Q930" s="3"/>
      <c r="R930" s="3"/>
      <c r="S930" s="3">
        <v>-113991</v>
      </c>
      <c r="T930" s="1">
        <v>13.23014</v>
      </c>
      <c r="U930" s="3"/>
      <c r="V930" s="3"/>
      <c r="X930" s="1">
        <v>-113991</v>
      </c>
      <c r="Y930" s="22">
        <v>13.23014</v>
      </c>
      <c r="Z930" s="4">
        <f>Table1[[#This Row],[totalTimeKept]]*$AD$3</f>
        <v>198452.1</v>
      </c>
      <c r="AA930" s="4">
        <f>Y930-Z930</f>
        <v>-198438.86986000001</v>
      </c>
    </row>
    <row r="931" spans="2:27" x14ac:dyDescent="0.3">
      <c r="B931" s="1" t="s">
        <v>1454</v>
      </c>
      <c r="C931" s="1" t="s">
        <v>1455</v>
      </c>
      <c r="E931" s="1">
        <v>0</v>
      </c>
      <c r="F931" s="1" t="s">
        <v>24</v>
      </c>
      <c r="G931" s="1" t="s">
        <v>25</v>
      </c>
      <c r="H931" s="2" t="s">
        <v>25</v>
      </c>
      <c r="I931" s="2">
        <v>38684</v>
      </c>
      <c r="J931" s="1" t="s">
        <v>25</v>
      </c>
      <c r="K931" s="3">
        <v>46926</v>
      </c>
      <c r="L931" s="3"/>
      <c r="M931" s="3">
        <v>-46926</v>
      </c>
      <c r="O931" s="1">
        <v>1</v>
      </c>
      <c r="P931" s="1">
        <v>0</v>
      </c>
      <c r="Q931" s="3"/>
      <c r="R931" s="3"/>
      <c r="S931" s="3">
        <v>-46926</v>
      </c>
      <c r="T931" s="1">
        <v>19.235620000000001</v>
      </c>
      <c r="U931" s="3"/>
      <c r="V931" s="3"/>
      <c r="X931" s="1">
        <v>-46926</v>
      </c>
      <c r="Y931" s="22">
        <v>19.235620000000001</v>
      </c>
      <c r="Z931" s="4">
        <f>Table1[[#This Row],[totalTimeKept]]*$AD$3</f>
        <v>288534.3</v>
      </c>
      <c r="AA931" s="4">
        <f>Y931-Z931</f>
        <v>-288515.06438</v>
      </c>
    </row>
    <row r="932" spans="2:27" x14ac:dyDescent="0.3">
      <c r="B932" s="1" t="s">
        <v>1456</v>
      </c>
      <c r="C932" s="1" t="s">
        <v>1457</v>
      </c>
      <c r="E932" s="1">
        <v>0</v>
      </c>
      <c r="F932" s="1" t="s">
        <v>24</v>
      </c>
      <c r="G932" s="1" t="s">
        <v>25</v>
      </c>
      <c r="H932" s="2" t="s">
        <v>25</v>
      </c>
      <c r="I932" s="2">
        <v>40511</v>
      </c>
      <c r="J932" s="1" t="s">
        <v>25</v>
      </c>
      <c r="K932" s="3">
        <v>90055</v>
      </c>
      <c r="L932" s="3"/>
      <c r="M932" s="3">
        <v>-90055</v>
      </c>
      <c r="O932" s="1">
        <v>1</v>
      </c>
      <c r="P932" s="1">
        <v>0</v>
      </c>
      <c r="Q932" s="3"/>
      <c r="R932" s="3"/>
      <c r="S932" s="3">
        <v>-90055</v>
      </c>
      <c r="T932" s="1">
        <v>14.23014</v>
      </c>
      <c r="U932" s="3"/>
      <c r="V932" s="3"/>
      <c r="X932" s="1">
        <v>-90055</v>
      </c>
      <c r="Y932" s="22">
        <v>14.23014</v>
      </c>
      <c r="Z932" s="4">
        <f>Table1[[#This Row],[totalTimeKept]]*$AD$3</f>
        <v>213452.1</v>
      </c>
      <c r="AA932" s="4">
        <f>Y932-Z932</f>
        <v>-213437.86986000001</v>
      </c>
    </row>
    <row r="933" spans="2:27" x14ac:dyDescent="0.3">
      <c r="B933" s="1" t="s">
        <v>1458</v>
      </c>
      <c r="C933" s="1" t="s">
        <v>1459</v>
      </c>
      <c r="E933" s="1">
        <v>0</v>
      </c>
      <c r="F933" s="1" t="s">
        <v>139</v>
      </c>
      <c r="G933" s="1" t="s">
        <v>25</v>
      </c>
      <c r="H933" s="1" t="s">
        <v>25</v>
      </c>
      <c r="I933" s="2">
        <v>42522</v>
      </c>
      <c r="J933" s="1" t="s">
        <v>25</v>
      </c>
      <c r="K933" s="3">
        <v>795520</v>
      </c>
      <c r="L933" s="3"/>
      <c r="M933" s="3">
        <v>-795520</v>
      </c>
      <c r="O933" s="1">
        <v>1</v>
      </c>
      <c r="P933" s="1">
        <v>0</v>
      </c>
      <c r="Q933" s="3"/>
      <c r="R933" s="3"/>
      <c r="S933" s="3">
        <v>-795520</v>
      </c>
      <c r="T933" s="1">
        <v>8.7205480000000009</v>
      </c>
      <c r="U933" s="3"/>
      <c r="V933" s="3"/>
      <c r="X933" s="1">
        <v>-795520</v>
      </c>
      <c r="Y933" s="22">
        <v>8.7205480000000009</v>
      </c>
      <c r="Z933" s="4">
        <f>Table1[[#This Row],[totalTimeKept]]*$AD$3</f>
        <v>130808.22000000002</v>
      </c>
      <c r="AA933" s="4">
        <f>Y933-Z933</f>
        <v>-130799.49945200002</v>
      </c>
    </row>
    <row r="934" spans="2:27" x14ac:dyDescent="0.3">
      <c r="B934" s="1" t="s">
        <v>1460</v>
      </c>
      <c r="C934" s="1" t="s">
        <v>1461</v>
      </c>
      <c r="E934" s="1">
        <v>0</v>
      </c>
      <c r="F934" s="1" t="s">
        <v>46</v>
      </c>
      <c r="G934" s="1" t="s">
        <v>25</v>
      </c>
      <c r="H934" s="1" t="s">
        <v>25</v>
      </c>
      <c r="I934" s="2">
        <v>44090</v>
      </c>
      <c r="J934" s="1" t="s">
        <v>25</v>
      </c>
      <c r="K934" s="3">
        <v>775000</v>
      </c>
      <c r="L934" s="3"/>
      <c r="M934" s="3">
        <v>-775000</v>
      </c>
      <c r="O934" s="1">
        <v>1</v>
      </c>
      <c r="P934" s="1">
        <v>0</v>
      </c>
      <c r="Q934" s="3"/>
      <c r="R934" s="3"/>
      <c r="S934" s="3">
        <v>-775000</v>
      </c>
      <c r="T934" s="1">
        <v>4.4246569999999998</v>
      </c>
      <c r="U934" s="3"/>
      <c r="V934" s="3"/>
      <c r="X934" s="1">
        <v>-775000</v>
      </c>
      <c r="Y934" s="22">
        <v>4.4246569999999998</v>
      </c>
      <c r="Z934" s="4">
        <f>Table1[[#This Row],[totalTimeKept]]*$AD$3</f>
        <v>66369.854999999996</v>
      </c>
      <c r="AA934" s="4">
        <f>Y934-Z934</f>
        <v>-66365.430343</v>
      </c>
    </row>
    <row r="935" spans="2:27" x14ac:dyDescent="0.3">
      <c r="B935" s="1" t="s">
        <v>1462</v>
      </c>
      <c r="C935" s="1" t="s">
        <v>1463</v>
      </c>
      <c r="E935" s="1">
        <v>0</v>
      </c>
      <c r="F935" s="1" t="s">
        <v>46</v>
      </c>
      <c r="G935" s="1" t="s">
        <v>25</v>
      </c>
      <c r="H935" s="1" t="s">
        <v>25</v>
      </c>
      <c r="I935" s="2">
        <v>45185</v>
      </c>
      <c r="J935" s="1" t="s">
        <v>25</v>
      </c>
      <c r="K935" s="3">
        <v>450000</v>
      </c>
      <c r="L935" s="3"/>
      <c r="M935" s="3">
        <v>-450000</v>
      </c>
      <c r="O935" s="1">
        <v>1</v>
      </c>
      <c r="P935" s="1">
        <v>0</v>
      </c>
      <c r="Q935" s="3"/>
      <c r="R935" s="3"/>
      <c r="S935" s="3">
        <v>-450000</v>
      </c>
      <c r="T935" s="1">
        <v>1.424658</v>
      </c>
      <c r="U935" s="3"/>
      <c r="V935" s="3"/>
      <c r="X935" s="1">
        <v>-450000</v>
      </c>
      <c r="Y935" s="22">
        <v>1.424658</v>
      </c>
      <c r="Z935" s="4">
        <f>Table1[[#This Row],[totalTimeKept]]*$AD$3</f>
        <v>21369.87</v>
      </c>
      <c r="AA935" s="4">
        <f>Y935-Z935</f>
        <v>-21368.445341999999</v>
      </c>
    </row>
    <row r="936" spans="2:27" x14ac:dyDescent="0.3">
      <c r="B936" s="1" t="s">
        <v>1464</v>
      </c>
      <c r="C936" s="1" t="s">
        <v>1465</v>
      </c>
      <c r="E936" s="1">
        <v>0</v>
      </c>
      <c r="F936" s="1" t="s">
        <v>46</v>
      </c>
      <c r="G936" s="1" t="s">
        <v>25</v>
      </c>
      <c r="H936" s="1" t="s">
        <v>25</v>
      </c>
      <c r="I936" s="2">
        <v>45546</v>
      </c>
      <c r="J936" s="1" t="s">
        <v>25</v>
      </c>
      <c r="K936" s="3">
        <v>350000</v>
      </c>
      <c r="L936" s="3"/>
      <c r="M936" s="3">
        <v>-350000</v>
      </c>
      <c r="O936" s="1">
        <v>1</v>
      </c>
      <c r="P936" s="1">
        <v>0</v>
      </c>
      <c r="Q936" s="3"/>
      <c r="R936" s="3"/>
      <c r="S936" s="3">
        <v>-350000</v>
      </c>
      <c r="T936" s="1">
        <v>0.43561640000000001</v>
      </c>
      <c r="U936" s="3"/>
      <c r="V936" s="3"/>
      <c r="X936" s="1">
        <v>-350000</v>
      </c>
      <c r="Y936" s="22">
        <v>0.43561640000000001</v>
      </c>
      <c r="Z936" s="4">
        <f>Table1[[#This Row],[totalTimeKept]]*$AD$3</f>
        <v>6534.2460000000001</v>
      </c>
      <c r="AA936" s="4">
        <f>Y936-Z936</f>
        <v>-6533.8103836</v>
      </c>
    </row>
    <row r="937" spans="2:27" x14ac:dyDescent="0.3">
      <c r="B937" s="1" t="s">
        <v>1466</v>
      </c>
      <c r="C937" s="1" t="s">
        <v>1467</v>
      </c>
      <c r="E937" s="1">
        <v>0</v>
      </c>
      <c r="F937" s="1" t="s">
        <v>139</v>
      </c>
      <c r="G937" s="1" t="s">
        <v>24</v>
      </c>
      <c r="H937" s="1" t="s">
        <v>25</v>
      </c>
      <c r="I937" s="2">
        <v>41016</v>
      </c>
      <c r="J937" s="2">
        <v>41788</v>
      </c>
      <c r="K937" s="3">
        <v>144984</v>
      </c>
      <c r="L937" s="3">
        <v>263226</v>
      </c>
      <c r="M937" s="3">
        <v>118242</v>
      </c>
      <c r="O937" s="1">
        <v>1</v>
      </c>
      <c r="P937" s="1">
        <v>1</v>
      </c>
      <c r="Q937" s="3"/>
      <c r="R937" s="3"/>
      <c r="S937" s="3">
        <v>118242</v>
      </c>
      <c r="T937" s="1">
        <v>2.1150679999999999</v>
      </c>
      <c r="U937" s="3"/>
      <c r="V937" s="3"/>
      <c r="X937" s="1">
        <v>118242</v>
      </c>
      <c r="Y937" s="22">
        <v>2.1150679999999999</v>
      </c>
      <c r="Z937" s="4">
        <f>Table1[[#This Row],[totalTimeKept]]*$AD$3</f>
        <v>31726.02</v>
      </c>
      <c r="AA937" s="4">
        <f>Y937-Z937</f>
        <v>-31723.904932000001</v>
      </c>
    </row>
    <row r="938" spans="2:27" x14ac:dyDescent="0.3">
      <c r="B938" s="1" t="s">
        <v>1468</v>
      </c>
      <c r="C938" s="1" t="s">
        <v>1469</v>
      </c>
      <c r="E938" s="1">
        <v>0</v>
      </c>
      <c r="F938" s="1" t="s">
        <v>46</v>
      </c>
      <c r="G938" s="1" t="s">
        <v>25</v>
      </c>
      <c r="H938" s="1" t="s">
        <v>25</v>
      </c>
      <c r="I938" s="2">
        <v>44671</v>
      </c>
      <c r="J938" s="1" t="s">
        <v>25</v>
      </c>
      <c r="K938" s="3">
        <v>443</v>
      </c>
      <c r="L938" s="3"/>
      <c r="M938" s="3">
        <v>-443</v>
      </c>
      <c r="O938" s="1">
        <v>1</v>
      </c>
      <c r="P938" s="1">
        <v>0</v>
      </c>
      <c r="Q938" s="3"/>
      <c r="R938" s="3"/>
      <c r="S938" s="3">
        <v>-443</v>
      </c>
      <c r="T938" s="1">
        <v>2.8328769999999999</v>
      </c>
      <c r="U938" s="3"/>
      <c r="V938" s="3"/>
      <c r="X938" s="1">
        <v>-443</v>
      </c>
      <c r="Y938" s="22">
        <v>2.8328769999999999</v>
      </c>
      <c r="Z938" s="4">
        <f>Table1[[#This Row],[totalTimeKept]]*$AD$3</f>
        <v>42493.154999999999</v>
      </c>
      <c r="AA938" s="4">
        <f>Y938-Z938</f>
        <v>-42490.322122999998</v>
      </c>
    </row>
    <row r="939" spans="2:27" x14ac:dyDescent="0.3">
      <c r="B939" s="1" t="s">
        <v>1470</v>
      </c>
      <c r="C939" s="1" t="s">
        <v>1471</v>
      </c>
      <c r="E939" s="1">
        <v>0</v>
      </c>
      <c r="F939" s="1" t="s">
        <v>24</v>
      </c>
      <c r="G939" s="1" t="s">
        <v>25</v>
      </c>
      <c r="H939" s="1" t="s">
        <v>25</v>
      </c>
      <c r="I939" s="2">
        <v>41646</v>
      </c>
      <c r="J939" s="1" t="s">
        <v>25</v>
      </c>
      <c r="K939" s="3">
        <v>115000</v>
      </c>
      <c r="L939" s="3"/>
      <c r="M939" s="3">
        <v>-115000</v>
      </c>
      <c r="O939" s="1">
        <v>1</v>
      </c>
      <c r="P939" s="1">
        <v>0</v>
      </c>
      <c r="Q939" s="3"/>
      <c r="R939" s="3"/>
      <c r="S939" s="3">
        <v>-115000</v>
      </c>
      <c r="T939" s="1">
        <v>11.12055</v>
      </c>
      <c r="U939" s="3"/>
      <c r="V939" s="3"/>
      <c r="X939" s="1">
        <v>-115000</v>
      </c>
      <c r="Y939" s="22">
        <v>11.12055</v>
      </c>
      <c r="Z939" s="4">
        <f>Table1[[#This Row],[totalTimeKept]]*$AD$3</f>
        <v>166808.25</v>
      </c>
      <c r="AA939" s="4">
        <f>Y939-Z939</f>
        <v>-166797.12945000001</v>
      </c>
    </row>
    <row r="940" spans="2:27" x14ac:dyDescent="0.3">
      <c r="B940" s="1" t="s">
        <v>1472</v>
      </c>
      <c r="C940" s="1" t="s">
        <v>1473</v>
      </c>
      <c r="E940" s="1">
        <v>0</v>
      </c>
      <c r="F940" s="1" t="s">
        <v>24</v>
      </c>
      <c r="G940" s="1" t="s">
        <v>25</v>
      </c>
      <c r="H940" s="1" t="s">
        <v>25</v>
      </c>
      <c r="I940" s="2">
        <v>40516</v>
      </c>
      <c r="J940" s="1" t="s">
        <v>25</v>
      </c>
      <c r="K940" s="3">
        <v>36210</v>
      </c>
      <c r="L940" s="3"/>
      <c r="M940" s="3">
        <v>-36210</v>
      </c>
      <c r="O940" s="1">
        <v>1</v>
      </c>
      <c r="P940" s="1">
        <v>0</v>
      </c>
      <c r="Q940" s="3"/>
      <c r="R940" s="3"/>
      <c r="S940" s="3">
        <v>-36210</v>
      </c>
      <c r="T940" s="1">
        <v>14.21644</v>
      </c>
      <c r="U940" s="3"/>
      <c r="V940" s="3"/>
      <c r="X940" s="1">
        <v>-36210</v>
      </c>
      <c r="Y940" s="22">
        <v>14.21644</v>
      </c>
      <c r="Z940" s="4">
        <f>Table1[[#This Row],[totalTimeKept]]*$AD$3</f>
        <v>213246.6</v>
      </c>
      <c r="AA940" s="4">
        <f>Y940-Z940</f>
        <v>-213232.38356000002</v>
      </c>
    </row>
    <row r="941" spans="2:27" x14ac:dyDescent="0.3">
      <c r="B941" s="1" t="s">
        <v>1474</v>
      </c>
      <c r="C941" s="1" t="s">
        <v>1475</v>
      </c>
      <c r="E941" s="1">
        <v>0</v>
      </c>
      <c r="F941" s="1" t="s">
        <v>46</v>
      </c>
      <c r="G941" s="1" t="s">
        <v>846</v>
      </c>
      <c r="H941" s="1" t="s">
        <v>25</v>
      </c>
      <c r="I941" s="2">
        <v>44818</v>
      </c>
      <c r="J941" s="2">
        <v>45481</v>
      </c>
      <c r="K941" s="3">
        <v>585000</v>
      </c>
      <c r="L941" s="3">
        <v>12000</v>
      </c>
      <c r="M941" s="3">
        <v>-573000</v>
      </c>
      <c r="O941" s="1">
        <v>1</v>
      </c>
      <c r="P941" s="1">
        <v>1</v>
      </c>
      <c r="Q941" s="3"/>
      <c r="R941" s="3"/>
      <c r="S941" s="3">
        <v>-573000</v>
      </c>
      <c r="T941" s="1">
        <v>1.816438</v>
      </c>
      <c r="U941" s="3"/>
      <c r="V941" s="3"/>
      <c r="X941" s="1">
        <v>-573000</v>
      </c>
      <c r="Y941" s="22">
        <v>1.816438</v>
      </c>
      <c r="Z941" s="4">
        <f>Table1[[#This Row],[totalTimeKept]]*$AD$3</f>
        <v>27246.57</v>
      </c>
      <c r="AA941" s="4">
        <f>Y941-Z941</f>
        <v>-27244.753561999998</v>
      </c>
    </row>
    <row r="942" spans="2:27" x14ac:dyDescent="0.3">
      <c r="B942" s="1" t="s">
        <v>1476</v>
      </c>
      <c r="C942" s="1" t="s">
        <v>1226</v>
      </c>
      <c r="E942" s="1">
        <v>0</v>
      </c>
      <c r="F942" s="1" t="s">
        <v>139</v>
      </c>
      <c r="G942" s="1" t="s">
        <v>24</v>
      </c>
      <c r="H942" s="1" t="s">
        <v>25</v>
      </c>
      <c r="I942" s="2">
        <v>42409</v>
      </c>
      <c r="J942" s="2">
        <v>43806</v>
      </c>
      <c r="K942" s="3">
        <v>85000</v>
      </c>
      <c r="L942" s="3">
        <v>143797</v>
      </c>
      <c r="M942" s="3">
        <v>58797</v>
      </c>
      <c r="O942" s="1">
        <v>1</v>
      </c>
      <c r="P942" s="1">
        <v>1</v>
      </c>
      <c r="Q942" s="3"/>
      <c r="R942" s="3"/>
      <c r="S942" s="3">
        <v>58797</v>
      </c>
      <c r="T942" s="1">
        <v>3.8273969999999999</v>
      </c>
      <c r="U942" s="3"/>
      <c r="V942" s="3"/>
      <c r="X942" s="1">
        <v>58797</v>
      </c>
      <c r="Y942" s="22">
        <v>3.8273969999999999</v>
      </c>
      <c r="Z942" s="4">
        <f>Table1[[#This Row],[totalTimeKept]]*$AD$3</f>
        <v>57410.955000000002</v>
      </c>
      <c r="AA942" s="4">
        <f>Y942-Z942</f>
        <v>-57407.127603000001</v>
      </c>
    </row>
    <row r="943" spans="2:27" x14ac:dyDescent="0.3">
      <c r="B943" s="1" t="s">
        <v>1477</v>
      </c>
      <c r="C943" s="1" t="s">
        <v>1478</v>
      </c>
      <c r="E943" s="1">
        <v>0</v>
      </c>
      <c r="F943" s="1" t="s">
        <v>139</v>
      </c>
      <c r="G943" s="1" t="s">
        <v>24</v>
      </c>
      <c r="H943" s="1" t="s">
        <v>25</v>
      </c>
      <c r="I943" s="2">
        <v>41423</v>
      </c>
      <c r="J943" s="2">
        <v>42492</v>
      </c>
      <c r="K943" s="3">
        <v>480750</v>
      </c>
      <c r="L943" s="3">
        <v>456480</v>
      </c>
      <c r="M943" s="3">
        <v>-24270</v>
      </c>
      <c r="O943" s="1">
        <v>1</v>
      </c>
      <c r="P943" s="1">
        <v>1</v>
      </c>
      <c r="Q943" s="3"/>
      <c r="R943" s="3"/>
      <c r="S943" s="3">
        <v>-24270</v>
      </c>
      <c r="T943" s="1">
        <v>2.9287670000000001</v>
      </c>
      <c r="U943" s="3"/>
      <c r="V943" s="3"/>
      <c r="X943" s="1">
        <v>-24270</v>
      </c>
      <c r="Y943" s="22">
        <v>2.9287670000000001</v>
      </c>
      <c r="Z943" s="4">
        <f>Table1[[#This Row],[totalTimeKept]]*$AD$3</f>
        <v>43931.505000000005</v>
      </c>
      <c r="AA943" s="4">
        <f>Y943-Z943</f>
        <v>-43928.576233000007</v>
      </c>
    </row>
    <row r="944" spans="2:27" x14ac:dyDescent="0.3">
      <c r="B944" s="1" t="s">
        <v>1479</v>
      </c>
      <c r="C944" s="1" t="s">
        <v>1480</v>
      </c>
      <c r="E944" s="1">
        <v>0</v>
      </c>
      <c r="F944" s="1" t="s">
        <v>46</v>
      </c>
      <c r="G944" s="1" t="s">
        <v>25</v>
      </c>
      <c r="H944" s="1" t="s">
        <v>25</v>
      </c>
      <c r="I944" s="2">
        <v>40939</v>
      </c>
      <c r="J944" s="1" t="s">
        <v>25</v>
      </c>
      <c r="K944" s="3">
        <v>61440</v>
      </c>
      <c r="L944" s="3"/>
      <c r="M944" s="3">
        <v>-61440</v>
      </c>
      <c r="O944" s="1">
        <v>1</v>
      </c>
      <c r="P944" s="1">
        <v>0</v>
      </c>
      <c r="Q944" s="3"/>
      <c r="R944" s="3"/>
      <c r="S944" s="3">
        <v>-61440</v>
      </c>
      <c r="T944" s="1">
        <v>13.05753</v>
      </c>
      <c r="U944" s="3"/>
      <c r="V944" s="3"/>
      <c r="X944" s="1">
        <v>-61440</v>
      </c>
      <c r="Y944" s="22">
        <v>13.05753</v>
      </c>
      <c r="Z944" s="4">
        <f>Table1[[#This Row],[totalTimeKept]]*$AD$3</f>
        <v>195862.95</v>
      </c>
      <c r="AA944" s="4">
        <f>Y944-Z944</f>
        <v>-195849.89247000002</v>
      </c>
    </row>
    <row r="945" spans="2:27" x14ac:dyDescent="0.3">
      <c r="B945" s="1" t="s">
        <v>1481</v>
      </c>
      <c r="C945" s="1" t="s">
        <v>1482</v>
      </c>
      <c r="E945" s="1">
        <v>0</v>
      </c>
      <c r="F945" s="1" t="s">
        <v>24</v>
      </c>
      <c r="G945" s="1" t="s">
        <v>24</v>
      </c>
      <c r="H945" s="2" t="s">
        <v>25</v>
      </c>
      <c r="I945" s="2">
        <v>40511</v>
      </c>
      <c r="J945" s="2">
        <v>41616</v>
      </c>
      <c r="K945" s="3">
        <v>106429</v>
      </c>
      <c r="L945" s="3">
        <v>61673</v>
      </c>
      <c r="M945" s="3">
        <v>-44756</v>
      </c>
      <c r="O945" s="1">
        <v>1</v>
      </c>
      <c r="P945" s="1">
        <v>1</v>
      </c>
      <c r="Q945" s="3"/>
      <c r="R945" s="3"/>
      <c r="S945" s="3">
        <v>-44756</v>
      </c>
      <c r="T945" s="1">
        <v>3.0273970000000001</v>
      </c>
      <c r="U945" s="3"/>
      <c r="V945" s="3"/>
      <c r="X945" s="1">
        <v>-44756</v>
      </c>
      <c r="Y945" s="22">
        <v>3.0273970000000001</v>
      </c>
      <c r="Z945" s="4">
        <f>Table1[[#This Row],[totalTimeKept]]*$AD$3</f>
        <v>45410.955000000002</v>
      </c>
      <c r="AA945" s="4">
        <f>Y945-Z945</f>
        <v>-45407.927603000004</v>
      </c>
    </row>
    <row r="946" spans="2:27" x14ac:dyDescent="0.3">
      <c r="B946" s="1" t="s">
        <v>1483</v>
      </c>
      <c r="C946" s="1" t="s">
        <v>1484</v>
      </c>
      <c r="E946" s="1">
        <v>0</v>
      </c>
      <c r="F946" s="1" t="s">
        <v>139</v>
      </c>
      <c r="G946" s="1" t="s">
        <v>24</v>
      </c>
      <c r="H946" s="1" t="s">
        <v>25</v>
      </c>
      <c r="I946" s="2">
        <v>41016</v>
      </c>
      <c r="J946" s="2">
        <v>42153</v>
      </c>
      <c r="K946" s="3">
        <v>869904</v>
      </c>
      <c r="L946" s="3">
        <v>1159200</v>
      </c>
      <c r="M946" s="3">
        <v>289296</v>
      </c>
      <c r="O946" s="1">
        <v>1</v>
      </c>
      <c r="P946" s="1">
        <v>1</v>
      </c>
      <c r="Q946" s="3"/>
      <c r="R946" s="3"/>
      <c r="S946" s="3">
        <v>289296</v>
      </c>
      <c r="T946" s="1">
        <v>3.1150679999999999</v>
      </c>
      <c r="U946" s="3"/>
      <c r="V946" s="3"/>
      <c r="X946" s="1">
        <v>289296</v>
      </c>
      <c r="Y946" s="22">
        <v>3.1150679999999999</v>
      </c>
      <c r="Z946" s="4">
        <f>Table1[[#This Row],[totalTimeKept]]*$AD$3</f>
        <v>46726.02</v>
      </c>
      <c r="AA946" s="4">
        <f>Y946-Z946</f>
        <v>-46722.904931999998</v>
      </c>
    </row>
    <row r="947" spans="2:27" x14ac:dyDescent="0.3">
      <c r="B947" s="1" t="s">
        <v>1485</v>
      </c>
      <c r="C947" s="1" t="s">
        <v>242</v>
      </c>
      <c r="E947" s="1">
        <v>0</v>
      </c>
      <c r="F947" s="1" t="s">
        <v>24</v>
      </c>
      <c r="G947" s="1" t="s">
        <v>24</v>
      </c>
      <c r="H947" s="2" t="s">
        <v>25</v>
      </c>
      <c r="I947" s="2">
        <v>43778</v>
      </c>
      <c r="J947" s="2">
        <v>44899</v>
      </c>
      <c r="K947" s="3">
        <v>135000</v>
      </c>
      <c r="L947" s="3">
        <v>31592</v>
      </c>
      <c r="M947" s="3">
        <v>-103408</v>
      </c>
      <c r="O947" s="1">
        <v>1</v>
      </c>
      <c r="P947" s="1">
        <v>1</v>
      </c>
      <c r="Q947" s="3"/>
      <c r="R947" s="3"/>
      <c r="S947" s="3">
        <v>-103408</v>
      </c>
      <c r="T947" s="1">
        <v>3.0712329999999999</v>
      </c>
      <c r="U947" s="3"/>
      <c r="V947" s="3"/>
      <c r="X947" s="1">
        <v>-103408</v>
      </c>
      <c r="Y947" s="22">
        <v>3.0712329999999999</v>
      </c>
      <c r="Z947" s="4">
        <f>Table1[[#This Row],[totalTimeKept]]*$AD$3</f>
        <v>46068.494999999995</v>
      </c>
      <c r="AA947" s="4">
        <f>Y947-Z947</f>
        <v>-46065.423766999993</v>
      </c>
    </row>
    <row r="948" spans="2:27" x14ac:dyDescent="0.3">
      <c r="B948" s="1" t="s">
        <v>1486</v>
      </c>
      <c r="C948" s="1" t="s">
        <v>1487</v>
      </c>
      <c r="E948" s="1">
        <v>0</v>
      </c>
      <c r="F948" s="1" t="s">
        <v>46</v>
      </c>
      <c r="G948" s="1" t="s">
        <v>25</v>
      </c>
      <c r="H948" s="1" t="s">
        <v>25</v>
      </c>
      <c r="I948" s="2">
        <v>43359</v>
      </c>
      <c r="J948" s="1" t="s">
        <v>25</v>
      </c>
      <c r="K948" s="3">
        <v>380000</v>
      </c>
      <c r="L948" s="3"/>
      <c r="M948" s="3">
        <v>-380000</v>
      </c>
      <c r="O948" s="1">
        <v>1</v>
      </c>
      <c r="P948" s="1">
        <v>0</v>
      </c>
      <c r="Q948" s="3"/>
      <c r="R948" s="3"/>
      <c r="S948" s="3">
        <v>-380000</v>
      </c>
      <c r="T948" s="1">
        <v>6.427397</v>
      </c>
      <c r="U948" s="3"/>
      <c r="V948" s="3"/>
      <c r="X948" s="1">
        <v>-380000</v>
      </c>
      <c r="Y948" s="22">
        <v>6.427397</v>
      </c>
      <c r="Z948" s="4">
        <f>Table1[[#This Row],[totalTimeKept]]*$AD$3</f>
        <v>96410.955000000002</v>
      </c>
      <c r="AA948" s="4">
        <f>Y948-Z948</f>
        <v>-96404.527602999995</v>
      </c>
    </row>
    <row r="949" spans="2:27" x14ac:dyDescent="0.3">
      <c r="B949" s="1" t="s">
        <v>1488</v>
      </c>
      <c r="C949" s="1" t="s">
        <v>1489</v>
      </c>
      <c r="E949" s="1">
        <v>0</v>
      </c>
      <c r="F949" s="1" t="s">
        <v>46</v>
      </c>
      <c r="G949" s="1" t="s">
        <v>25</v>
      </c>
      <c r="H949" s="1" t="s">
        <v>25</v>
      </c>
      <c r="I949" s="2">
        <v>45546</v>
      </c>
      <c r="J949" s="1" t="s">
        <v>25</v>
      </c>
      <c r="K949" s="3">
        <v>450000</v>
      </c>
      <c r="L949" s="3"/>
      <c r="M949" s="3">
        <v>-450000</v>
      </c>
      <c r="O949" s="1">
        <v>1</v>
      </c>
      <c r="P949" s="1">
        <v>0</v>
      </c>
      <c r="Q949" s="3"/>
      <c r="R949" s="3"/>
      <c r="S949" s="3">
        <v>-450000</v>
      </c>
      <c r="T949" s="1">
        <v>0.43561640000000001</v>
      </c>
      <c r="U949" s="3"/>
      <c r="V949" s="3"/>
      <c r="X949" s="1">
        <v>-450000</v>
      </c>
      <c r="Y949" s="22">
        <v>0.43561640000000001</v>
      </c>
      <c r="Z949" s="4">
        <f>Table1[[#This Row],[totalTimeKept]]*$AD$3</f>
        <v>6534.2460000000001</v>
      </c>
      <c r="AA949" s="4">
        <f>Y949-Z949</f>
        <v>-6533.8103836</v>
      </c>
    </row>
    <row r="950" spans="2:27" x14ac:dyDescent="0.3">
      <c r="B950" s="1" t="s">
        <v>1490</v>
      </c>
      <c r="C950" s="1" t="s">
        <v>1491</v>
      </c>
      <c r="E950" s="1">
        <v>0</v>
      </c>
      <c r="F950" s="1" t="s">
        <v>46</v>
      </c>
      <c r="G950" s="1" t="s">
        <v>25</v>
      </c>
      <c r="H950" s="2" t="s">
        <v>25</v>
      </c>
      <c r="I950" s="2">
        <v>44089</v>
      </c>
      <c r="J950" s="1" t="s">
        <v>25</v>
      </c>
      <c r="K950" s="3">
        <v>200000</v>
      </c>
      <c r="L950" s="3"/>
      <c r="M950" s="3">
        <v>-200000</v>
      </c>
      <c r="O950" s="1">
        <v>1</v>
      </c>
      <c r="P950" s="1">
        <v>0</v>
      </c>
      <c r="Q950" s="3"/>
      <c r="R950" s="3"/>
      <c r="S950" s="3">
        <v>-200000</v>
      </c>
      <c r="T950" s="1">
        <v>4.427397</v>
      </c>
      <c r="U950" s="3"/>
      <c r="V950" s="3"/>
      <c r="X950" s="1">
        <v>-200000</v>
      </c>
      <c r="Y950" s="22">
        <v>4.427397</v>
      </c>
      <c r="Z950" s="4">
        <f>Table1[[#This Row],[totalTimeKept]]*$AD$3</f>
        <v>66410.955000000002</v>
      </c>
      <c r="AA950" s="4">
        <f>Y950-Z950</f>
        <v>-66406.527602999995</v>
      </c>
    </row>
    <row r="951" spans="2:27" x14ac:dyDescent="0.3">
      <c r="B951" s="1" t="s">
        <v>1492</v>
      </c>
      <c r="C951" s="1" t="s">
        <v>1493</v>
      </c>
      <c r="E951" s="1">
        <v>0</v>
      </c>
      <c r="F951" s="1" t="s">
        <v>46</v>
      </c>
      <c r="G951" s="1" t="s">
        <v>25</v>
      </c>
      <c r="H951" s="1" t="s">
        <v>25</v>
      </c>
      <c r="I951" s="2">
        <v>45509</v>
      </c>
      <c r="J951" s="1" t="s">
        <v>25</v>
      </c>
      <c r="K951" s="3">
        <v>700000</v>
      </c>
      <c r="L951" s="3"/>
      <c r="M951" s="3">
        <v>-700000</v>
      </c>
      <c r="O951" s="1">
        <v>1</v>
      </c>
      <c r="P951" s="1">
        <v>0</v>
      </c>
      <c r="Q951" s="3"/>
      <c r="R951" s="3"/>
      <c r="S951" s="3">
        <v>-700000</v>
      </c>
      <c r="T951" s="1">
        <v>0.53698630000000003</v>
      </c>
      <c r="U951" s="3"/>
      <c r="V951" s="3"/>
      <c r="X951" s="1">
        <v>-700000</v>
      </c>
      <c r="Y951" s="22">
        <v>0.53698630000000003</v>
      </c>
      <c r="Z951" s="4">
        <f>Table1[[#This Row],[totalTimeKept]]*$AD$3</f>
        <v>8054.7945</v>
      </c>
      <c r="AA951" s="4">
        <f>Y951-Z951</f>
        <v>-8054.2575137000003</v>
      </c>
    </row>
    <row r="952" spans="2:27" x14ac:dyDescent="0.3">
      <c r="B952" s="1" t="s">
        <v>1494</v>
      </c>
      <c r="C952" s="1" t="s">
        <v>1495</v>
      </c>
      <c r="E952" s="1">
        <v>0</v>
      </c>
      <c r="F952" s="1" t="s">
        <v>46</v>
      </c>
      <c r="G952" s="1" t="s">
        <v>25</v>
      </c>
      <c r="H952" s="1" t="s">
        <v>25</v>
      </c>
      <c r="I952" s="2">
        <v>45182</v>
      </c>
      <c r="J952" s="1" t="s">
        <v>25</v>
      </c>
      <c r="K952" s="3">
        <v>625000</v>
      </c>
      <c r="L952" s="3"/>
      <c r="M952" s="3">
        <v>-625000</v>
      </c>
      <c r="O952" s="1">
        <v>1</v>
      </c>
      <c r="P952" s="1">
        <v>0</v>
      </c>
      <c r="Q952" s="3"/>
      <c r="R952" s="3"/>
      <c r="S952" s="3">
        <v>-625000</v>
      </c>
      <c r="T952" s="1">
        <v>1.432877</v>
      </c>
      <c r="U952" s="3"/>
      <c r="V952" s="3"/>
      <c r="X952" s="1">
        <v>-625000</v>
      </c>
      <c r="Y952" s="22">
        <v>1.432877</v>
      </c>
      <c r="Z952" s="4">
        <f>Table1[[#This Row],[totalTimeKept]]*$AD$3</f>
        <v>21493.154999999999</v>
      </c>
      <c r="AA952" s="4">
        <f>Y952-Z952</f>
        <v>-21491.722123</v>
      </c>
    </row>
    <row r="953" spans="2:27" x14ac:dyDescent="0.3">
      <c r="B953" s="1" t="s">
        <v>1496</v>
      </c>
      <c r="C953" s="1" t="s">
        <v>1497</v>
      </c>
      <c r="E953" s="1">
        <v>0</v>
      </c>
      <c r="F953" s="1" t="s">
        <v>46</v>
      </c>
      <c r="G953" s="1" t="s">
        <v>25</v>
      </c>
      <c r="H953" s="1" t="s">
        <v>25</v>
      </c>
      <c r="I953" s="2">
        <v>45547</v>
      </c>
      <c r="J953" s="1" t="s">
        <v>25</v>
      </c>
      <c r="K953" s="3">
        <v>425000</v>
      </c>
      <c r="L953" s="3"/>
      <c r="M953" s="3">
        <v>-425000</v>
      </c>
      <c r="O953" s="1">
        <v>1</v>
      </c>
      <c r="P953" s="1">
        <v>0</v>
      </c>
      <c r="Q953" s="3"/>
      <c r="R953" s="3"/>
      <c r="S953" s="3">
        <v>-425000</v>
      </c>
      <c r="T953" s="1">
        <v>0.4328767</v>
      </c>
      <c r="U953" s="3"/>
      <c r="V953" s="3"/>
      <c r="X953" s="1">
        <v>-425000</v>
      </c>
      <c r="Y953" s="22">
        <v>0.4328767</v>
      </c>
      <c r="Z953" s="4">
        <f>Table1[[#This Row],[totalTimeKept]]*$AD$3</f>
        <v>6493.1504999999997</v>
      </c>
      <c r="AA953" s="4">
        <f>Y953-Z953</f>
        <v>-6492.7176233</v>
      </c>
    </row>
    <row r="954" spans="2:27" x14ac:dyDescent="0.3">
      <c r="B954" s="1" t="s">
        <v>1498</v>
      </c>
      <c r="C954" s="1" t="s">
        <v>1499</v>
      </c>
      <c r="E954" s="1">
        <v>0</v>
      </c>
      <c r="F954" s="1" t="s">
        <v>24</v>
      </c>
      <c r="G954" s="1" t="s">
        <v>24</v>
      </c>
      <c r="H954" s="1" t="s">
        <v>25</v>
      </c>
      <c r="I954" s="2">
        <v>40516</v>
      </c>
      <c r="J954" s="2">
        <v>42343</v>
      </c>
      <c r="K954" s="3">
        <v>80466</v>
      </c>
      <c r="L954" s="3">
        <v>76195</v>
      </c>
      <c r="M954" s="3">
        <v>-4271</v>
      </c>
      <c r="O954" s="1">
        <v>1</v>
      </c>
      <c r="P954" s="1">
        <v>1</v>
      </c>
      <c r="Q954" s="3"/>
      <c r="R954" s="3"/>
      <c r="S954" s="3">
        <v>-4271</v>
      </c>
      <c r="T954" s="1">
        <v>5.0054790000000002</v>
      </c>
      <c r="U954" s="3"/>
      <c r="V954" s="3"/>
      <c r="X954" s="1">
        <v>-4271</v>
      </c>
      <c r="Y954" s="22">
        <v>5.0054790000000002</v>
      </c>
      <c r="Z954" s="4">
        <f>Table1[[#This Row],[totalTimeKept]]*$AD$3</f>
        <v>75082.184999999998</v>
      </c>
      <c r="AA954" s="4">
        <f>Y954-Z954</f>
        <v>-75077.179520999998</v>
      </c>
    </row>
    <row r="955" spans="2:27" x14ac:dyDescent="0.3">
      <c r="B955" s="1" t="s">
        <v>1500</v>
      </c>
      <c r="C955" s="1" t="s">
        <v>1501</v>
      </c>
      <c r="E955" s="1">
        <v>0</v>
      </c>
      <c r="F955" s="1" t="s">
        <v>46</v>
      </c>
      <c r="G955" s="1" t="s">
        <v>25</v>
      </c>
      <c r="H955" s="2" t="s">
        <v>25</v>
      </c>
      <c r="I955" s="2">
        <v>45546</v>
      </c>
      <c r="J955" s="1" t="s">
        <v>25</v>
      </c>
      <c r="K955" s="3">
        <v>285000</v>
      </c>
      <c r="L955" s="3"/>
      <c r="M955" s="3">
        <v>-285000</v>
      </c>
      <c r="O955" s="1">
        <v>1</v>
      </c>
      <c r="P955" s="1">
        <v>0</v>
      </c>
      <c r="Q955" s="3"/>
      <c r="R955" s="3"/>
      <c r="S955" s="3">
        <v>-285000</v>
      </c>
      <c r="T955" s="1">
        <v>0.43561640000000001</v>
      </c>
      <c r="U955" s="3"/>
      <c r="V955" s="3"/>
      <c r="X955" s="1">
        <v>-285000</v>
      </c>
      <c r="Y955" s="22">
        <v>0.43561640000000001</v>
      </c>
      <c r="Z955" s="4">
        <f>Table1[[#This Row],[totalTimeKept]]*$AD$3</f>
        <v>6534.2460000000001</v>
      </c>
      <c r="AA955" s="4">
        <f>Y955-Z955</f>
        <v>-6533.8103836</v>
      </c>
    </row>
    <row r="956" spans="2:27" x14ac:dyDescent="0.3">
      <c r="B956" s="1" t="s">
        <v>1500</v>
      </c>
      <c r="C956" s="1" t="s">
        <v>1502</v>
      </c>
      <c r="E956" s="1">
        <v>0</v>
      </c>
      <c r="F956" s="1" t="s">
        <v>46</v>
      </c>
      <c r="G956" s="1" t="s">
        <v>25</v>
      </c>
      <c r="H956" s="1" t="s">
        <v>25</v>
      </c>
      <c r="I956" s="2">
        <v>45547</v>
      </c>
      <c r="J956" s="1" t="s">
        <v>25</v>
      </c>
      <c r="K956" s="3">
        <v>750000</v>
      </c>
      <c r="L956" s="3"/>
      <c r="M956" s="3">
        <v>-750000</v>
      </c>
      <c r="O956" s="1">
        <v>1</v>
      </c>
      <c r="P956" s="1">
        <v>0</v>
      </c>
      <c r="Q956" s="3"/>
      <c r="R956" s="3"/>
      <c r="S956" s="3">
        <v>-750000</v>
      </c>
      <c r="T956" s="1">
        <v>0.4328767</v>
      </c>
      <c r="U956" s="3"/>
      <c r="V956" s="3"/>
      <c r="X956" s="1">
        <v>-750000</v>
      </c>
      <c r="Y956" s="22">
        <v>0.4328767</v>
      </c>
      <c r="Z956" s="4">
        <f>Table1[[#This Row],[totalTimeKept]]*$AD$3</f>
        <v>6493.1504999999997</v>
      </c>
      <c r="AA956" s="4">
        <f>Y956-Z956</f>
        <v>-6492.7176233</v>
      </c>
    </row>
    <row r="957" spans="2:27" x14ac:dyDescent="0.3">
      <c r="B957" s="1" t="s">
        <v>1500</v>
      </c>
      <c r="C957" s="1" t="s">
        <v>1503</v>
      </c>
      <c r="E957" s="1">
        <v>0</v>
      </c>
      <c r="F957" s="1" t="s">
        <v>46</v>
      </c>
      <c r="G957" s="1" t="s">
        <v>25</v>
      </c>
      <c r="H957" s="1" t="s">
        <v>25</v>
      </c>
      <c r="I957" s="2">
        <v>45545</v>
      </c>
      <c r="J957" s="2" t="s">
        <v>25</v>
      </c>
      <c r="K957" s="3">
        <v>750000</v>
      </c>
      <c r="L957" s="3"/>
      <c r="M957" s="3">
        <v>-750000</v>
      </c>
      <c r="O957" s="1">
        <v>1</v>
      </c>
      <c r="P957" s="1">
        <v>0</v>
      </c>
      <c r="Q957" s="3"/>
      <c r="R957" s="3"/>
      <c r="S957" s="3">
        <v>-750000</v>
      </c>
      <c r="T957" s="1">
        <v>0.43835619999999997</v>
      </c>
      <c r="U957" s="3"/>
      <c r="V957" s="3"/>
      <c r="X957" s="1">
        <v>-750000</v>
      </c>
      <c r="Y957" s="22">
        <v>0.43835619999999997</v>
      </c>
      <c r="Z957" s="4">
        <f>Table1[[#This Row],[totalTimeKept]]*$AD$3</f>
        <v>6575.3429999999998</v>
      </c>
      <c r="AA957" s="4">
        <f>Y957-Z957</f>
        <v>-6574.9046437999996</v>
      </c>
    </row>
    <row r="958" spans="2:27" x14ac:dyDescent="0.3">
      <c r="B958" s="1" t="s">
        <v>1500</v>
      </c>
      <c r="C958" s="1" t="s">
        <v>1504</v>
      </c>
      <c r="E958" s="1">
        <v>0</v>
      </c>
      <c r="F958" s="1" t="s">
        <v>46</v>
      </c>
      <c r="G958" s="1" t="s">
        <v>25</v>
      </c>
      <c r="H958" s="2" t="s">
        <v>25</v>
      </c>
      <c r="I958" s="2">
        <v>45546</v>
      </c>
      <c r="J958" s="2" t="s">
        <v>25</v>
      </c>
      <c r="K958" s="3">
        <v>300000</v>
      </c>
      <c r="L958" s="3"/>
      <c r="M958" s="3">
        <v>-300000</v>
      </c>
      <c r="O958" s="1">
        <v>1</v>
      </c>
      <c r="P958" s="1">
        <v>0</v>
      </c>
      <c r="Q958" s="3"/>
      <c r="R958" s="3"/>
      <c r="S958" s="3">
        <v>-300000</v>
      </c>
      <c r="T958" s="1">
        <v>0.43561640000000001</v>
      </c>
      <c r="U958" s="3"/>
      <c r="V958" s="3"/>
      <c r="X958" s="1">
        <v>-300000</v>
      </c>
      <c r="Y958" s="22">
        <v>0.43561640000000001</v>
      </c>
      <c r="Z958" s="4">
        <f>Table1[[#This Row],[totalTimeKept]]*$AD$3</f>
        <v>6534.2460000000001</v>
      </c>
      <c r="AA958" s="4">
        <f>Y958-Z958</f>
        <v>-6533.8103836</v>
      </c>
    </row>
    <row r="959" spans="2:27" x14ac:dyDescent="0.3">
      <c r="B959" s="1" t="s">
        <v>1500</v>
      </c>
      <c r="C959" s="1" t="s">
        <v>1505</v>
      </c>
      <c r="E959" s="1">
        <v>0</v>
      </c>
      <c r="F959" s="1" t="s">
        <v>46</v>
      </c>
      <c r="G959" s="1" t="s">
        <v>25</v>
      </c>
      <c r="H959" s="1" t="s">
        <v>25</v>
      </c>
      <c r="I959" s="2">
        <v>45510</v>
      </c>
      <c r="J959" s="1" t="s">
        <v>25</v>
      </c>
      <c r="K959" s="3">
        <v>975000</v>
      </c>
      <c r="L959" s="3"/>
      <c r="M959" s="3">
        <v>-975000</v>
      </c>
      <c r="O959" s="1">
        <v>1</v>
      </c>
      <c r="P959" s="1">
        <v>0</v>
      </c>
      <c r="Q959" s="3"/>
      <c r="R959" s="3"/>
      <c r="S959" s="3">
        <v>-975000</v>
      </c>
      <c r="T959" s="1">
        <v>0.53424660000000002</v>
      </c>
      <c r="U959" s="3"/>
      <c r="V959" s="3"/>
      <c r="X959" s="1">
        <v>-975000</v>
      </c>
      <c r="Y959" s="22">
        <v>0.53424660000000002</v>
      </c>
      <c r="Z959" s="4">
        <f>Table1[[#This Row],[totalTimeKept]]*$AD$3</f>
        <v>8013.6990000000005</v>
      </c>
      <c r="AA959" s="4">
        <f>Y959-Z959</f>
        <v>-8013.1647534000003</v>
      </c>
    </row>
    <row r="960" spans="2:27" x14ac:dyDescent="0.3">
      <c r="B960" s="1" t="s">
        <v>1500</v>
      </c>
      <c r="C960" s="1" t="s">
        <v>1506</v>
      </c>
      <c r="E960" s="1">
        <v>0</v>
      </c>
      <c r="F960" s="1" t="s">
        <v>46</v>
      </c>
      <c r="G960" s="1" t="s">
        <v>25</v>
      </c>
      <c r="H960" s="1" t="s">
        <v>25</v>
      </c>
      <c r="I960" s="2">
        <v>45545</v>
      </c>
      <c r="J960" s="1" t="s">
        <v>25</v>
      </c>
      <c r="K960" s="3">
        <v>1150000</v>
      </c>
      <c r="L960" s="3"/>
      <c r="M960" s="3">
        <v>-1150000</v>
      </c>
      <c r="O960" s="1">
        <v>1</v>
      </c>
      <c r="P960" s="1">
        <v>0</v>
      </c>
      <c r="Q960" s="3"/>
      <c r="R960" s="3"/>
      <c r="S960" s="3">
        <v>-1150000</v>
      </c>
      <c r="T960" s="1">
        <v>0.43835619999999997</v>
      </c>
      <c r="U960" s="3"/>
      <c r="V960" s="3"/>
      <c r="X960" s="1">
        <v>-1150000</v>
      </c>
      <c r="Y960" s="22">
        <v>0.43835619999999997</v>
      </c>
      <c r="Z960" s="4">
        <f>Table1[[#This Row],[totalTimeKept]]*$AD$3</f>
        <v>6575.3429999999998</v>
      </c>
      <c r="AA960" s="4">
        <f>Y960-Z960</f>
        <v>-6574.9046437999996</v>
      </c>
    </row>
    <row r="961" spans="2:27" x14ac:dyDescent="0.3">
      <c r="B961" s="1" t="s">
        <v>1500</v>
      </c>
      <c r="C961" s="1" t="s">
        <v>1507</v>
      </c>
      <c r="E961" s="1">
        <v>0</v>
      </c>
      <c r="F961" s="1" t="s">
        <v>46</v>
      </c>
      <c r="G961" s="1" t="s">
        <v>25</v>
      </c>
      <c r="H961" s="1" t="s">
        <v>25</v>
      </c>
      <c r="I961" s="2">
        <v>45548</v>
      </c>
      <c r="J961" s="1" t="s">
        <v>25</v>
      </c>
      <c r="K961" s="3">
        <v>525000</v>
      </c>
      <c r="L961" s="3"/>
      <c r="M961" s="3">
        <v>-525000</v>
      </c>
      <c r="O961" s="1">
        <v>1</v>
      </c>
      <c r="P961" s="1">
        <v>0</v>
      </c>
      <c r="Q961" s="3"/>
      <c r="R961" s="3"/>
      <c r="S961" s="3">
        <v>-525000</v>
      </c>
      <c r="T961" s="1">
        <v>0.43013699999999999</v>
      </c>
      <c r="U961" s="3"/>
      <c r="V961" s="3"/>
      <c r="X961" s="1">
        <v>-525000</v>
      </c>
      <c r="Y961" s="22">
        <v>0.43013699999999999</v>
      </c>
      <c r="Z961" s="4">
        <f>Table1[[#This Row],[totalTimeKept]]*$AD$3</f>
        <v>6452.0550000000003</v>
      </c>
      <c r="AA961" s="4">
        <f>Y961-Z961</f>
        <v>-6451.624863</v>
      </c>
    </row>
    <row r="962" spans="2:27" x14ac:dyDescent="0.3">
      <c r="B962" s="1" t="s">
        <v>1500</v>
      </c>
      <c r="C962" s="1" t="s">
        <v>1508</v>
      </c>
      <c r="E962" s="1">
        <v>0</v>
      </c>
      <c r="F962" s="1" t="s">
        <v>46</v>
      </c>
      <c r="G962" s="1" t="s">
        <v>25</v>
      </c>
      <c r="H962" s="1" t="s">
        <v>25</v>
      </c>
      <c r="I962" s="2">
        <v>45549</v>
      </c>
      <c r="J962" s="1" t="s">
        <v>25</v>
      </c>
      <c r="K962" s="3">
        <v>400000</v>
      </c>
      <c r="L962" s="3"/>
      <c r="M962" s="3">
        <v>-400000</v>
      </c>
      <c r="O962" s="1">
        <v>1</v>
      </c>
      <c r="P962" s="1">
        <v>0</v>
      </c>
      <c r="Q962" s="3"/>
      <c r="R962" s="3"/>
      <c r="S962" s="3">
        <v>-400000</v>
      </c>
      <c r="T962" s="1">
        <v>0.42739729999999998</v>
      </c>
      <c r="U962" s="3"/>
      <c r="V962" s="3"/>
      <c r="X962" s="1">
        <v>-400000</v>
      </c>
      <c r="Y962" s="22">
        <v>0.42739729999999998</v>
      </c>
      <c r="Z962" s="4">
        <f>Table1[[#This Row],[totalTimeKept]]*$AD$3</f>
        <v>6410.9594999999999</v>
      </c>
      <c r="AA962" s="4">
        <f>Y962-Z962</f>
        <v>-6410.5321027</v>
      </c>
    </row>
    <row r="963" spans="2:27" x14ac:dyDescent="0.3">
      <c r="B963" s="1" t="s">
        <v>1500</v>
      </c>
      <c r="C963" s="1" t="s">
        <v>1509</v>
      </c>
      <c r="E963" s="1">
        <v>0</v>
      </c>
      <c r="F963" s="1" t="s">
        <v>46</v>
      </c>
      <c r="G963" s="1" t="s">
        <v>25</v>
      </c>
      <c r="H963" s="1" t="s">
        <v>25</v>
      </c>
      <c r="I963" s="2">
        <v>45546</v>
      </c>
      <c r="J963" s="1" t="s">
        <v>25</v>
      </c>
      <c r="K963" s="3">
        <v>385000</v>
      </c>
      <c r="L963" s="3"/>
      <c r="M963" s="3">
        <v>-385000</v>
      </c>
      <c r="O963" s="1">
        <v>1</v>
      </c>
      <c r="P963" s="1">
        <v>0</v>
      </c>
      <c r="Q963" s="3"/>
      <c r="R963" s="3"/>
      <c r="S963" s="3">
        <v>-385000</v>
      </c>
      <c r="T963" s="1">
        <v>0.43561640000000001</v>
      </c>
      <c r="U963" s="3"/>
      <c r="V963" s="3"/>
      <c r="X963" s="1">
        <v>-385000</v>
      </c>
      <c r="Y963" s="22">
        <v>0.43561640000000001</v>
      </c>
      <c r="Z963" s="4">
        <f>Table1[[#This Row],[totalTimeKept]]*$AD$3</f>
        <v>6534.2460000000001</v>
      </c>
      <c r="AA963" s="4">
        <f>Y963-Z963</f>
        <v>-6533.8103836</v>
      </c>
    </row>
    <row r="964" spans="2:27" x14ac:dyDescent="0.3">
      <c r="B964" s="1" t="s">
        <v>1500</v>
      </c>
      <c r="C964" s="1" t="s">
        <v>1510</v>
      </c>
      <c r="E964" s="1">
        <v>0</v>
      </c>
      <c r="F964" s="1" t="s">
        <v>46</v>
      </c>
      <c r="G964" s="1" t="s">
        <v>25</v>
      </c>
      <c r="H964" s="2" t="s">
        <v>25</v>
      </c>
      <c r="I964" s="2">
        <v>45545</v>
      </c>
      <c r="J964" s="1" t="s">
        <v>25</v>
      </c>
      <c r="K964" s="3">
        <v>550000</v>
      </c>
      <c r="L964" s="3"/>
      <c r="M964" s="3">
        <v>-550000</v>
      </c>
      <c r="O964" s="1">
        <v>1</v>
      </c>
      <c r="P964" s="1">
        <v>0</v>
      </c>
      <c r="Q964" s="3"/>
      <c r="R964" s="3"/>
      <c r="S964" s="3">
        <v>-550000</v>
      </c>
      <c r="T964" s="1">
        <v>0.43835619999999997</v>
      </c>
      <c r="U964" s="3"/>
      <c r="V964" s="3"/>
      <c r="X964" s="1">
        <v>-550000</v>
      </c>
      <c r="Y964" s="22">
        <v>0.43835619999999997</v>
      </c>
      <c r="Z964" s="4">
        <f>Table1[[#This Row],[totalTimeKept]]*$AD$3</f>
        <v>6575.3429999999998</v>
      </c>
      <c r="AA964" s="4">
        <f>Y964-Z964</f>
        <v>-6574.9046437999996</v>
      </c>
    </row>
    <row r="965" spans="2:27" x14ac:dyDescent="0.3">
      <c r="B965" s="1" t="s">
        <v>1511</v>
      </c>
      <c r="C965" s="1" t="s">
        <v>1512</v>
      </c>
      <c r="E965" s="1">
        <v>0</v>
      </c>
      <c r="F965" s="1" t="s">
        <v>46</v>
      </c>
      <c r="G965" s="1" t="s">
        <v>25</v>
      </c>
      <c r="H965" s="1" t="s">
        <v>25</v>
      </c>
      <c r="I965" s="2">
        <v>45186</v>
      </c>
      <c r="J965" s="1" t="s">
        <v>25</v>
      </c>
      <c r="K965" s="3">
        <v>700000</v>
      </c>
      <c r="L965" s="3"/>
      <c r="M965" s="3">
        <v>-700000</v>
      </c>
      <c r="O965" s="1">
        <v>1</v>
      </c>
      <c r="P965" s="1">
        <v>0</v>
      </c>
      <c r="Q965" s="3"/>
      <c r="R965" s="3"/>
      <c r="S965" s="3">
        <v>-700000</v>
      </c>
      <c r="T965" s="1">
        <v>1.421918</v>
      </c>
      <c r="U965" s="3"/>
      <c r="V965" s="3"/>
      <c r="X965" s="1">
        <v>-700000</v>
      </c>
      <c r="Y965" s="22">
        <v>1.421918</v>
      </c>
      <c r="Z965" s="4">
        <f>Table1[[#This Row],[totalTimeKept]]*$AD$3</f>
        <v>21328.77</v>
      </c>
      <c r="AA965" s="4">
        <f>Y965-Z965</f>
        <v>-21327.348082</v>
      </c>
    </row>
    <row r="966" spans="2:27" x14ac:dyDescent="0.3">
      <c r="B966" s="1" t="s">
        <v>1513</v>
      </c>
      <c r="C966" s="1" t="s">
        <v>1514</v>
      </c>
      <c r="E966" s="1">
        <v>0</v>
      </c>
      <c r="F966" s="1" t="s">
        <v>46</v>
      </c>
      <c r="G966" s="1" t="s">
        <v>25</v>
      </c>
      <c r="H966" s="1" t="s">
        <v>25</v>
      </c>
      <c r="I966" s="2">
        <v>44091</v>
      </c>
      <c r="J966" s="1" t="s">
        <v>25</v>
      </c>
      <c r="K966" s="3">
        <v>100000</v>
      </c>
      <c r="L966" s="3"/>
      <c r="M966" s="3">
        <v>-100000</v>
      </c>
      <c r="O966" s="1">
        <v>1</v>
      </c>
      <c r="P966" s="1">
        <v>0</v>
      </c>
      <c r="Q966" s="3"/>
      <c r="R966" s="3"/>
      <c r="S966" s="3">
        <v>-100000</v>
      </c>
      <c r="T966" s="1">
        <v>4.4219179999999998</v>
      </c>
      <c r="U966" s="3"/>
      <c r="V966" s="3"/>
      <c r="X966" s="1">
        <v>-100000</v>
      </c>
      <c r="Y966" s="22">
        <v>4.4219179999999998</v>
      </c>
      <c r="Z966" s="4">
        <f>Table1[[#This Row],[totalTimeKept]]*$AD$3</f>
        <v>66328.77</v>
      </c>
      <c r="AA966" s="4">
        <f>Y966-Z966</f>
        <v>-66324.348082000011</v>
      </c>
    </row>
    <row r="967" spans="2:27" x14ac:dyDescent="0.3">
      <c r="B967" s="1" t="s">
        <v>1515</v>
      </c>
      <c r="C967" s="1" t="s">
        <v>1516</v>
      </c>
      <c r="E967" s="1">
        <v>0</v>
      </c>
      <c r="F967" s="1" t="s">
        <v>46</v>
      </c>
      <c r="G967" s="1" t="s">
        <v>25</v>
      </c>
      <c r="H967" s="1" t="s">
        <v>25</v>
      </c>
      <c r="I967" s="2">
        <v>44091</v>
      </c>
      <c r="J967" s="1" t="s">
        <v>25</v>
      </c>
      <c r="K967" s="3">
        <v>165000</v>
      </c>
      <c r="L967" s="3"/>
      <c r="M967" s="3">
        <v>-165000</v>
      </c>
      <c r="O967" s="1">
        <v>1</v>
      </c>
      <c r="P967" s="1">
        <v>0</v>
      </c>
      <c r="Q967" s="3"/>
      <c r="R967" s="3"/>
      <c r="S967" s="3">
        <v>-165000</v>
      </c>
      <c r="T967" s="1">
        <v>4.4219179999999998</v>
      </c>
      <c r="U967" s="3"/>
      <c r="V967" s="3"/>
      <c r="X967" s="1">
        <v>-165000</v>
      </c>
      <c r="Y967" s="22">
        <v>4.4219179999999998</v>
      </c>
      <c r="Z967" s="4">
        <f>Table1[[#This Row],[totalTimeKept]]*$AD$3</f>
        <v>66328.77</v>
      </c>
      <c r="AA967" s="4">
        <f>Y967-Z967</f>
        <v>-66324.348082000011</v>
      </c>
    </row>
    <row r="968" spans="2:27" x14ac:dyDescent="0.3">
      <c r="B968" s="1" t="s">
        <v>1517</v>
      </c>
      <c r="C968" s="1" t="s">
        <v>1518</v>
      </c>
      <c r="E968" s="1">
        <v>0</v>
      </c>
      <c r="F968" s="1" t="s">
        <v>46</v>
      </c>
      <c r="G968" s="1" t="s">
        <v>25</v>
      </c>
      <c r="H968" s="1" t="s">
        <v>25</v>
      </c>
      <c r="I968" s="2">
        <v>43358</v>
      </c>
      <c r="J968" s="1" t="s">
        <v>25</v>
      </c>
      <c r="K968" s="3">
        <v>270000</v>
      </c>
      <c r="L968" s="3"/>
      <c r="M968" s="3">
        <v>-270000</v>
      </c>
      <c r="O968" s="1">
        <v>1</v>
      </c>
      <c r="P968" s="1">
        <v>0</v>
      </c>
      <c r="Q968" s="3"/>
      <c r="R968" s="3"/>
      <c r="S968" s="3">
        <v>-270000</v>
      </c>
      <c r="T968" s="1">
        <v>6.4301370000000002</v>
      </c>
      <c r="U968" s="3"/>
      <c r="V968" s="3"/>
      <c r="X968" s="1">
        <v>-270000</v>
      </c>
      <c r="Y968" s="22">
        <v>6.4301370000000002</v>
      </c>
      <c r="Z968" s="4">
        <f>Table1[[#This Row],[totalTimeKept]]*$AD$3</f>
        <v>96452.055000000008</v>
      </c>
      <c r="AA968" s="4">
        <f>Y968-Z968</f>
        <v>-96445.624863000005</v>
      </c>
    </row>
    <row r="969" spans="2:27" x14ac:dyDescent="0.3">
      <c r="B969" s="1" t="s">
        <v>1519</v>
      </c>
      <c r="C969" s="1" t="s">
        <v>258</v>
      </c>
      <c r="E969" s="1">
        <v>0</v>
      </c>
      <c r="F969" s="1" t="s">
        <v>46</v>
      </c>
      <c r="G969" s="1" t="s">
        <v>25</v>
      </c>
      <c r="H969" s="1" t="s">
        <v>25</v>
      </c>
      <c r="I969" s="2">
        <v>44087</v>
      </c>
      <c r="J969" s="1" t="s">
        <v>25</v>
      </c>
      <c r="K969" s="3">
        <v>475000</v>
      </c>
      <c r="L969" s="3"/>
      <c r="M969" s="3">
        <v>-475000</v>
      </c>
      <c r="O969" s="1">
        <v>1</v>
      </c>
      <c r="P969" s="1">
        <v>0</v>
      </c>
      <c r="Q969" s="3"/>
      <c r="R969" s="3"/>
      <c r="S969" s="3">
        <v>-475000</v>
      </c>
      <c r="T969" s="1">
        <v>4.4328770000000004</v>
      </c>
      <c r="U969" s="3"/>
      <c r="V969" s="3"/>
      <c r="X969" s="1">
        <v>-475000</v>
      </c>
      <c r="Y969" s="22">
        <v>4.4328770000000004</v>
      </c>
      <c r="Z969" s="4">
        <f>Table1[[#This Row],[totalTimeKept]]*$AD$3</f>
        <v>66493.154999999999</v>
      </c>
      <c r="AA969" s="4">
        <f>Y969-Z969</f>
        <v>-66488.722123</v>
      </c>
    </row>
    <row r="970" spans="2:27" x14ac:dyDescent="0.3">
      <c r="B970" s="1" t="s">
        <v>1520</v>
      </c>
      <c r="C970" s="1" t="s">
        <v>1521</v>
      </c>
      <c r="E970" s="1">
        <v>0</v>
      </c>
      <c r="F970" s="1" t="s">
        <v>46</v>
      </c>
      <c r="G970" s="1" t="s">
        <v>25</v>
      </c>
      <c r="H970" s="2" t="s">
        <v>25</v>
      </c>
      <c r="I970" s="2">
        <v>43353</v>
      </c>
      <c r="J970" s="1" t="s">
        <v>25</v>
      </c>
      <c r="K970" s="3">
        <v>950000</v>
      </c>
      <c r="L970" s="3"/>
      <c r="M970" s="3">
        <v>-950000</v>
      </c>
      <c r="O970" s="1">
        <v>1</v>
      </c>
      <c r="P970" s="1">
        <v>0</v>
      </c>
      <c r="Q970" s="3"/>
      <c r="R970" s="3"/>
      <c r="S970" s="3">
        <v>-950000</v>
      </c>
      <c r="T970" s="1">
        <v>6.4438360000000001</v>
      </c>
      <c r="U970" s="3"/>
      <c r="V970" s="3"/>
      <c r="X970" s="1">
        <v>-950000</v>
      </c>
      <c r="Y970" s="22">
        <v>6.4438360000000001</v>
      </c>
      <c r="Z970" s="4">
        <f>Table1[[#This Row],[totalTimeKept]]*$AD$3</f>
        <v>96657.540000000008</v>
      </c>
      <c r="AA970" s="4">
        <f>Y970-Z970</f>
        <v>-96651.096164000002</v>
      </c>
    </row>
  </sheetData>
  <mergeCells count="2">
    <mergeCell ref="AC8:AD8"/>
    <mergeCell ref="AC18:AD18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356D-5D94-461F-A7B7-B4EC00FF8381}">
  <dimension ref="B2:V40"/>
  <sheetViews>
    <sheetView workbookViewId="0">
      <pane xSplit="3" ySplit="4" topLeftCell="D8" activePane="bottomRight" state="frozen"/>
      <selection pane="topRight" activeCell="D1" sqref="D1"/>
      <selection pane="bottomLeft" activeCell="A5" sqref="A5"/>
      <selection pane="bottomRight" activeCell="N13" sqref="N13:N17"/>
    </sheetView>
  </sheetViews>
  <sheetFormatPr defaultRowHeight="14.4" x14ac:dyDescent="0.3"/>
  <cols>
    <col min="2" max="2" width="25.109375" style="1" bestFit="1" customWidth="1"/>
    <col min="3" max="3" width="10.6640625" bestFit="1" customWidth="1"/>
    <col min="4" max="5" width="8" bestFit="1" customWidth="1"/>
    <col min="9" max="9" width="13.6640625" customWidth="1"/>
    <col min="10" max="10" width="12.109375" bestFit="1" customWidth="1"/>
    <col min="11" max="11" width="15.44140625" bestFit="1" customWidth="1"/>
    <col min="12" max="12" width="11.109375" bestFit="1" customWidth="1"/>
    <col min="13" max="13" width="15.21875" bestFit="1" customWidth="1"/>
    <col min="14" max="14" width="15.77734375" customWidth="1"/>
    <col min="15" max="15" width="12.109375" bestFit="1" customWidth="1"/>
    <col min="17" max="17" width="11.77734375" customWidth="1"/>
    <col min="18" max="18" width="10.77734375" bestFit="1" customWidth="1"/>
    <col min="19" max="19" width="11" bestFit="1" customWidth="1"/>
    <col min="21" max="21" width="11.109375" bestFit="1" customWidth="1"/>
    <col min="22" max="22" width="13.88671875" bestFit="1" customWidth="1"/>
  </cols>
  <sheetData>
    <row r="2" spans="2:22" x14ac:dyDescent="0.3">
      <c r="B2" s="17" t="s">
        <v>1533</v>
      </c>
      <c r="C2" s="17"/>
      <c r="D2" s="17"/>
      <c r="F2" s="18" t="s">
        <v>1523</v>
      </c>
      <c r="G2" s="18"/>
      <c r="H2" s="18"/>
      <c r="I2">
        <v>15000</v>
      </c>
    </row>
    <row r="3" spans="2:22" x14ac:dyDescent="0.3">
      <c r="B3" s="12"/>
      <c r="L3" s="12"/>
      <c r="M3" s="12"/>
      <c r="N3" s="9"/>
      <c r="O3" s="12"/>
      <c r="P3" s="12"/>
      <c r="Q3" s="12"/>
      <c r="R3" s="12"/>
      <c r="S3" s="12"/>
      <c r="T3" s="12"/>
      <c r="U3" s="12"/>
      <c r="V3" s="12"/>
    </row>
    <row r="4" spans="2:22" ht="72" x14ac:dyDescent="0.3">
      <c r="B4" s="1" t="s">
        <v>1545</v>
      </c>
      <c r="C4" s="1" t="s">
        <v>1534</v>
      </c>
      <c r="D4" s="12" t="s">
        <v>1553</v>
      </c>
      <c r="E4" s="12" t="s">
        <v>1554</v>
      </c>
      <c r="F4" s="12" t="s">
        <v>1535</v>
      </c>
      <c r="G4" s="12" t="s">
        <v>1536</v>
      </c>
      <c r="H4" s="12" t="s">
        <v>1537</v>
      </c>
      <c r="I4" s="12" t="s">
        <v>1540</v>
      </c>
      <c r="J4" s="15" t="s">
        <v>1539</v>
      </c>
      <c r="K4" s="15" t="s">
        <v>1538</v>
      </c>
      <c r="L4" s="12" t="s">
        <v>1546</v>
      </c>
      <c r="M4" s="15" t="s">
        <v>1547</v>
      </c>
      <c r="N4" s="15" t="s">
        <v>1549</v>
      </c>
      <c r="O4" s="12" t="s">
        <v>1542</v>
      </c>
      <c r="P4" s="12" t="s">
        <v>1541</v>
      </c>
      <c r="Q4" s="12" t="s">
        <v>1543</v>
      </c>
      <c r="R4" s="15" t="s">
        <v>1550</v>
      </c>
      <c r="S4" s="15" t="s">
        <v>1544</v>
      </c>
      <c r="T4" s="12" t="s">
        <v>1551</v>
      </c>
      <c r="U4" s="15" t="s">
        <v>1548</v>
      </c>
      <c r="V4" s="15" t="s">
        <v>1552</v>
      </c>
    </row>
    <row r="5" spans="2:22" x14ac:dyDescent="0.3">
      <c r="B5" s="1" t="s">
        <v>349</v>
      </c>
      <c r="C5" s="10">
        <v>2011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3">
        <v>0</v>
      </c>
      <c r="K5" s="3">
        <v>145000</v>
      </c>
      <c r="L5" s="11">
        <v>0.73150680000000001</v>
      </c>
      <c r="M5" s="3">
        <f>L5*$I$2</f>
        <v>10972.602000000001</v>
      </c>
      <c r="N5" s="14">
        <f>J5+K5-M5</f>
        <v>134027.39799999999</v>
      </c>
      <c r="O5" s="7">
        <v>0</v>
      </c>
      <c r="P5" s="10">
        <v>0</v>
      </c>
      <c r="Q5" s="10">
        <v>0</v>
      </c>
      <c r="R5" s="3">
        <v>0</v>
      </c>
      <c r="S5" s="3">
        <v>0</v>
      </c>
      <c r="T5" s="11"/>
      <c r="U5" s="3">
        <f>T5*$I$2</f>
        <v>0</v>
      </c>
      <c r="V5" s="14">
        <f>N5+R5-S5-U5</f>
        <v>134027.39799999999</v>
      </c>
    </row>
    <row r="6" spans="2:22" x14ac:dyDescent="0.3">
      <c r="B6" s="1" t="s">
        <v>349</v>
      </c>
      <c r="C6" s="10">
        <v>2015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3">
        <v>12700</v>
      </c>
      <c r="K6" s="3">
        <v>30000</v>
      </c>
      <c r="L6" s="11">
        <v>5.1945199999999998</v>
      </c>
      <c r="M6" s="3">
        <f t="shared" ref="M6:M21" si="0">L6*$I$2</f>
        <v>77917.8</v>
      </c>
      <c r="N6" s="14">
        <f t="shared" ref="N6:N7" si="1">J6+K6-M6</f>
        <v>-35217.800000000003</v>
      </c>
      <c r="O6" s="7">
        <v>1</v>
      </c>
      <c r="P6" s="10">
        <v>2</v>
      </c>
      <c r="Q6" s="10">
        <v>1</v>
      </c>
      <c r="R6" s="3">
        <v>0</v>
      </c>
      <c r="S6" s="3">
        <v>190000</v>
      </c>
      <c r="T6" s="11"/>
      <c r="U6" s="3">
        <f t="shared" ref="U6:U40" si="2">T6*$I$2</f>
        <v>0</v>
      </c>
      <c r="V6" s="14">
        <f>N6+R6-S6-U6</f>
        <v>-225217.8</v>
      </c>
    </row>
    <row r="7" spans="2:22" x14ac:dyDescent="0.3">
      <c r="B7" s="1" t="s">
        <v>349</v>
      </c>
      <c r="C7" s="10">
        <v>2016</v>
      </c>
      <c r="D7" s="1">
        <v>2</v>
      </c>
      <c r="E7" s="1">
        <v>1</v>
      </c>
      <c r="F7" s="1">
        <v>2</v>
      </c>
      <c r="G7" s="1">
        <v>2</v>
      </c>
      <c r="H7" s="1">
        <v>2</v>
      </c>
      <c r="I7" s="1">
        <v>1</v>
      </c>
      <c r="J7" s="3">
        <v>41400</v>
      </c>
      <c r="K7" s="3">
        <v>-350000</v>
      </c>
      <c r="L7" s="11">
        <v>5.6301360000000003</v>
      </c>
      <c r="M7" s="3">
        <f t="shared" si="0"/>
        <v>84452.040000000008</v>
      </c>
      <c r="N7" s="14">
        <f t="shared" si="1"/>
        <v>-393052.04000000004</v>
      </c>
      <c r="O7" s="7">
        <v>1</v>
      </c>
      <c r="P7" s="10">
        <v>5</v>
      </c>
      <c r="Q7" s="10">
        <v>3</v>
      </c>
      <c r="R7" s="3">
        <v>0</v>
      </c>
      <c r="S7" s="3">
        <v>443745.3</v>
      </c>
      <c r="T7" s="11"/>
      <c r="U7" s="3">
        <f t="shared" si="2"/>
        <v>0</v>
      </c>
      <c r="V7" s="14">
        <f>N7+R7-S7-U7</f>
        <v>-836797.34000000008</v>
      </c>
    </row>
    <row r="8" spans="2:22" x14ac:dyDescent="0.3">
      <c r="B8" s="1" t="s">
        <v>46</v>
      </c>
      <c r="C8" s="10">
        <v>1997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3">
        <v>0</v>
      </c>
      <c r="K8" s="3">
        <v>-1500</v>
      </c>
      <c r="L8" s="11">
        <v>0.76164379999999998</v>
      </c>
      <c r="M8" s="3">
        <f t="shared" si="0"/>
        <v>11424.656999999999</v>
      </c>
      <c r="N8" s="14">
        <f t="shared" ref="N8:N20" si="3">J8+K8-M8</f>
        <v>-12924.656999999999</v>
      </c>
      <c r="O8" s="7">
        <v>0</v>
      </c>
      <c r="P8" s="10">
        <v>0</v>
      </c>
      <c r="Q8" s="10">
        <v>0</v>
      </c>
      <c r="R8" s="3">
        <v>0</v>
      </c>
      <c r="S8" s="3">
        <v>0</v>
      </c>
      <c r="T8" s="11"/>
      <c r="U8" s="3">
        <f t="shared" si="2"/>
        <v>0</v>
      </c>
      <c r="V8" s="14">
        <f t="shared" ref="V8:V20" si="4">N8+R8-S8-U8</f>
        <v>-12924.656999999999</v>
      </c>
    </row>
    <row r="9" spans="2:22" x14ac:dyDescent="0.3">
      <c r="B9" s="1" t="s">
        <v>46</v>
      </c>
      <c r="C9" s="10">
        <v>2010</v>
      </c>
      <c r="D9" s="1">
        <v>9</v>
      </c>
      <c r="E9" s="1">
        <v>7</v>
      </c>
      <c r="F9" s="1">
        <v>9</v>
      </c>
      <c r="G9" s="1">
        <v>9</v>
      </c>
      <c r="H9" s="1">
        <v>9</v>
      </c>
      <c r="I9" s="1">
        <v>0</v>
      </c>
      <c r="J9" s="3">
        <v>0</v>
      </c>
      <c r="K9" s="3">
        <v>-344480</v>
      </c>
      <c r="L9" s="11">
        <v>5.3741250000000003</v>
      </c>
      <c r="M9" s="3">
        <f t="shared" si="0"/>
        <v>80611.875</v>
      </c>
      <c r="N9" s="14">
        <f t="shared" si="3"/>
        <v>-425091.875</v>
      </c>
      <c r="O9" s="7">
        <v>3</v>
      </c>
      <c r="P9" s="10">
        <v>8</v>
      </c>
      <c r="Q9" s="10">
        <v>5</v>
      </c>
      <c r="R9" s="3">
        <v>100000</v>
      </c>
      <c r="S9" s="3">
        <v>180000</v>
      </c>
      <c r="T9" s="11">
        <v>2.238356</v>
      </c>
      <c r="U9" s="3">
        <f t="shared" si="2"/>
        <v>33575.340000000004</v>
      </c>
      <c r="V9" s="14">
        <f t="shared" si="4"/>
        <v>-538667.21499999997</v>
      </c>
    </row>
    <row r="10" spans="2:22" x14ac:dyDescent="0.3">
      <c r="B10" s="1" t="s">
        <v>46</v>
      </c>
      <c r="C10" s="10">
        <v>2012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0</v>
      </c>
      <c r="J10" s="3">
        <v>0</v>
      </c>
      <c r="K10" s="3">
        <v>-490000</v>
      </c>
      <c r="L10" s="11">
        <v>11.43014</v>
      </c>
      <c r="M10" s="3">
        <f t="shared" si="0"/>
        <v>171452.1</v>
      </c>
      <c r="N10" s="14">
        <f t="shared" si="3"/>
        <v>-661452.1</v>
      </c>
      <c r="O10" s="7">
        <v>1</v>
      </c>
      <c r="P10" s="10">
        <v>10</v>
      </c>
      <c r="Q10" s="10">
        <v>9</v>
      </c>
      <c r="R10" s="3">
        <v>0</v>
      </c>
      <c r="S10" s="3">
        <v>555000</v>
      </c>
      <c r="T10" s="11"/>
      <c r="U10" s="3">
        <f t="shared" si="2"/>
        <v>0</v>
      </c>
      <c r="V10" s="14">
        <f t="shared" si="4"/>
        <v>-1216452.1000000001</v>
      </c>
    </row>
    <row r="11" spans="2:22" x14ac:dyDescent="0.3">
      <c r="B11" s="1" t="s">
        <v>46</v>
      </c>
      <c r="C11" s="10">
        <v>2013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3">
        <v>0</v>
      </c>
      <c r="K11" s="3">
        <v>-115000</v>
      </c>
      <c r="L11" s="11">
        <v>5.1616439999999999</v>
      </c>
      <c r="M11" s="3">
        <f t="shared" si="0"/>
        <v>77424.66</v>
      </c>
      <c r="N11" s="14">
        <f t="shared" si="3"/>
        <v>-192424.66</v>
      </c>
      <c r="O11" s="7">
        <v>1</v>
      </c>
      <c r="P11" s="10">
        <v>3</v>
      </c>
      <c r="Q11" s="10">
        <v>3</v>
      </c>
      <c r="R11" s="3">
        <v>0</v>
      </c>
      <c r="S11" s="3">
        <v>130000</v>
      </c>
      <c r="T11" s="11"/>
      <c r="U11" s="3">
        <f t="shared" si="2"/>
        <v>0</v>
      </c>
      <c r="V11" s="14">
        <f t="shared" si="4"/>
        <v>-322424.66000000003</v>
      </c>
    </row>
    <row r="12" spans="2:22" x14ac:dyDescent="0.3">
      <c r="B12" s="1" t="s">
        <v>46</v>
      </c>
      <c r="C12" s="10">
        <v>2014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3">
        <v>2850</v>
      </c>
      <c r="K12" s="3">
        <v>100000</v>
      </c>
      <c r="L12" s="11">
        <v>0.55342469999999999</v>
      </c>
      <c r="M12" s="3">
        <f t="shared" si="0"/>
        <v>8301.3704999999991</v>
      </c>
      <c r="N12" s="14">
        <f t="shared" si="3"/>
        <v>94548.629499999995</v>
      </c>
      <c r="O12" s="7">
        <v>1</v>
      </c>
      <c r="P12" s="10">
        <v>1</v>
      </c>
      <c r="Q12" s="10">
        <v>1</v>
      </c>
      <c r="R12" s="3">
        <v>22000</v>
      </c>
      <c r="S12" s="3">
        <v>30000</v>
      </c>
      <c r="T12" s="11">
        <v>1.616438</v>
      </c>
      <c r="U12" s="3">
        <f t="shared" si="2"/>
        <v>24246.57</v>
      </c>
      <c r="V12" s="14">
        <f t="shared" si="4"/>
        <v>62302.059499999996</v>
      </c>
    </row>
    <row r="13" spans="2:22" x14ac:dyDescent="0.3">
      <c r="B13" s="1" t="s">
        <v>46</v>
      </c>
      <c r="C13" s="10">
        <v>2017</v>
      </c>
      <c r="D13" s="1">
        <v>15</v>
      </c>
      <c r="E13" s="1">
        <v>5</v>
      </c>
      <c r="F13" s="1">
        <v>15</v>
      </c>
      <c r="G13" s="1">
        <v>15</v>
      </c>
      <c r="H13" s="1">
        <v>15</v>
      </c>
      <c r="I13" s="1">
        <v>11</v>
      </c>
      <c r="J13" s="3">
        <v>8285340</v>
      </c>
      <c r="K13" s="3">
        <v>-6798000</v>
      </c>
      <c r="L13" s="11">
        <v>4.9587219999999999</v>
      </c>
      <c r="M13" s="3">
        <f t="shared" si="0"/>
        <v>74380.83</v>
      </c>
      <c r="N13" s="14">
        <f t="shared" si="3"/>
        <v>1412959.17</v>
      </c>
      <c r="O13" s="7">
        <v>0</v>
      </c>
      <c r="P13" s="10">
        <v>0</v>
      </c>
      <c r="Q13" s="10">
        <v>0</v>
      </c>
      <c r="R13" s="3">
        <v>0</v>
      </c>
      <c r="S13" s="3">
        <v>0</v>
      </c>
      <c r="T13" s="11"/>
      <c r="U13" s="3">
        <f t="shared" si="2"/>
        <v>0</v>
      </c>
      <c r="V13" s="14">
        <f t="shared" si="4"/>
        <v>1412959.17</v>
      </c>
    </row>
    <row r="14" spans="2:22" x14ac:dyDescent="0.3">
      <c r="B14" s="1" t="s">
        <v>46</v>
      </c>
      <c r="C14" s="10">
        <v>2018</v>
      </c>
      <c r="D14" s="1">
        <v>15</v>
      </c>
      <c r="E14" s="1">
        <v>5</v>
      </c>
      <c r="F14" s="1">
        <v>15</v>
      </c>
      <c r="G14" s="1">
        <v>15</v>
      </c>
      <c r="H14" s="1">
        <v>15</v>
      </c>
      <c r="I14" s="1">
        <v>14</v>
      </c>
      <c r="J14" s="3">
        <v>2550195</v>
      </c>
      <c r="K14" s="3">
        <v>-6998000</v>
      </c>
      <c r="L14" s="11">
        <v>4.2599090000000004</v>
      </c>
      <c r="M14" s="3">
        <f t="shared" si="0"/>
        <v>63898.635000000009</v>
      </c>
      <c r="N14" s="14">
        <f t="shared" si="3"/>
        <v>-4511703.6349999998</v>
      </c>
      <c r="O14" s="7">
        <v>0</v>
      </c>
      <c r="P14" s="10">
        <v>0</v>
      </c>
      <c r="Q14" s="10">
        <v>0</v>
      </c>
      <c r="R14" s="3">
        <v>0</v>
      </c>
      <c r="S14" s="3">
        <v>0</v>
      </c>
      <c r="T14" s="11"/>
      <c r="U14" s="3">
        <f t="shared" si="2"/>
        <v>0</v>
      </c>
      <c r="V14" s="14">
        <f t="shared" si="4"/>
        <v>-4511703.6349999998</v>
      </c>
    </row>
    <row r="15" spans="2:22" x14ac:dyDescent="0.3">
      <c r="B15" s="1" t="s">
        <v>46</v>
      </c>
      <c r="C15" s="10">
        <v>2019</v>
      </c>
      <c r="D15" s="1">
        <v>31</v>
      </c>
      <c r="E15" s="1">
        <v>15</v>
      </c>
      <c r="F15" s="1">
        <v>31</v>
      </c>
      <c r="G15" s="1">
        <v>31</v>
      </c>
      <c r="H15" s="1">
        <v>31</v>
      </c>
      <c r="I15" s="1">
        <v>27</v>
      </c>
      <c r="J15" s="3">
        <v>3804409</v>
      </c>
      <c r="K15" s="3">
        <v>-10678000</v>
      </c>
      <c r="L15" s="11">
        <v>3.261158</v>
      </c>
      <c r="M15" s="3">
        <f t="shared" si="0"/>
        <v>48917.37</v>
      </c>
      <c r="N15" s="14">
        <f t="shared" si="3"/>
        <v>-6922508.3700000001</v>
      </c>
      <c r="O15" s="7">
        <v>0</v>
      </c>
      <c r="P15" s="10">
        <v>0</v>
      </c>
      <c r="Q15" s="10">
        <v>0</v>
      </c>
      <c r="R15" s="3">
        <v>0</v>
      </c>
      <c r="S15" s="3">
        <v>0</v>
      </c>
      <c r="T15" s="11"/>
      <c r="U15" s="3">
        <f t="shared" si="2"/>
        <v>0</v>
      </c>
      <c r="V15" s="14">
        <f t="shared" si="4"/>
        <v>-6922508.3700000001</v>
      </c>
    </row>
    <row r="16" spans="2:22" x14ac:dyDescent="0.3">
      <c r="B16" s="1" t="s">
        <v>46</v>
      </c>
      <c r="C16" s="10">
        <v>2020</v>
      </c>
      <c r="D16" s="1">
        <v>24</v>
      </c>
      <c r="E16" s="1">
        <v>11</v>
      </c>
      <c r="F16" s="1">
        <v>24</v>
      </c>
      <c r="G16" s="1">
        <v>24</v>
      </c>
      <c r="H16" s="1">
        <v>24</v>
      </c>
      <c r="I16" s="1">
        <v>21</v>
      </c>
      <c r="J16" s="3">
        <v>3173674</v>
      </c>
      <c r="K16" s="3">
        <v>-9292000</v>
      </c>
      <c r="L16" s="11">
        <v>2.8045659999999999</v>
      </c>
      <c r="M16" s="3">
        <f t="shared" si="0"/>
        <v>42068.49</v>
      </c>
      <c r="N16" s="14">
        <f t="shared" si="3"/>
        <v>-6160394.4900000002</v>
      </c>
      <c r="O16" s="7">
        <v>0</v>
      </c>
      <c r="P16" s="10">
        <v>0</v>
      </c>
      <c r="Q16" s="10">
        <v>0</v>
      </c>
      <c r="R16" s="3">
        <v>0</v>
      </c>
      <c r="S16" s="3">
        <v>0</v>
      </c>
      <c r="T16" s="11"/>
      <c r="U16" s="3">
        <f t="shared" si="2"/>
        <v>0</v>
      </c>
      <c r="V16" s="14">
        <f t="shared" si="4"/>
        <v>-6160394.4900000002</v>
      </c>
    </row>
    <row r="17" spans="2:22" x14ac:dyDescent="0.3">
      <c r="B17" s="1" t="s">
        <v>46</v>
      </c>
      <c r="C17" s="10">
        <v>2021</v>
      </c>
      <c r="D17" s="1">
        <v>21</v>
      </c>
      <c r="E17" s="1">
        <v>4</v>
      </c>
      <c r="F17" s="1">
        <v>21</v>
      </c>
      <c r="G17" s="1">
        <v>21</v>
      </c>
      <c r="H17" s="1">
        <v>21</v>
      </c>
      <c r="I17" s="1">
        <v>17</v>
      </c>
      <c r="J17" s="3">
        <v>1770938</v>
      </c>
      <c r="K17" s="3">
        <v>-12295000</v>
      </c>
      <c r="L17" s="11">
        <v>2.2763209999999998</v>
      </c>
      <c r="M17" s="3">
        <f t="shared" si="0"/>
        <v>34144.814999999995</v>
      </c>
      <c r="N17" s="14">
        <f t="shared" si="3"/>
        <v>-10558206.814999999</v>
      </c>
      <c r="O17" s="7">
        <v>0</v>
      </c>
      <c r="P17" s="10">
        <v>0</v>
      </c>
      <c r="Q17" s="10">
        <v>0</v>
      </c>
      <c r="R17" s="3">
        <v>0</v>
      </c>
      <c r="S17" s="3">
        <v>0</v>
      </c>
      <c r="T17" s="11"/>
      <c r="U17" s="3">
        <f t="shared" si="2"/>
        <v>0</v>
      </c>
      <c r="V17" s="14">
        <f t="shared" si="4"/>
        <v>-10558206.814999999</v>
      </c>
    </row>
    <row r="18" spans="2:22" x14ac:dyDescent="0.3">
      <c r="B18" s="1" t="s">
        <v>46</v>
      </c>
      <c r="C18" s="10">
        <v>2022</v>
      </c>
      <c r="D18" s="1">
        <v>25</v>
      </c>
      <c r="E18" s="1">
        <v>3</v>
      </c>
      <c r="F18" s="1">
        <v>25</v>
      </c>
      <c r="G18" s="1">
        <v>25</v>
      </c>
      <c r="H18" s="1">
        <v>25</v>
      </c>
      <c r="I18" s="1">
        <v>15</v>
      </c>
      <c r="J18" s="3">
        <v>2424576</v>
      </c>
      <c r="K18" s="3">
        <v>-13350000</v>
      </c>
      <c r="L18" s="11">
        <v>1.373918</v>
      </c>
      <c r="M18" s="3">
        <f t="shared" si="0"/>
        <v>20608.77</v>
      </c>
      <c r="N18" s="14">
        <f t="shared" si="3"/>
        <v>-10946032.77</v>
      </c>
      <c r="O18" s="7">
        <v>0</v>
      </c>
      <c r="P18" s="10">
        <v>0</v>
      </c>
      <c r="Q18" s="10">
        <v>0</v>
      </c>
      <c r="R18" s="3">
        <v>0</v>
      </c>
      <c r="S18" s="3">
        <v>0</v>
      </c>
      <c r="T18" s="11"/>
      <c r="U18" s="3">
        <f t="shared" si="2"/>
        <v>0</v>
      </c>
      <c r="V18" s="14">
        <f t="shared" si="4"/>
        <v>-10946032.77</v>
      </c>
    </row>
    <row r="19" spans="2:22" x14ac:dyDescent="0.3">
      <c r="B19" s="1" t="s">
        <v>46</v>
      </c>
      <c r="C19" s="10">
        <v>2023</v>
      </c>
      <c r="D19" s="1">
        <v>7</v>
      </c>
      <c r="E19" s="1">
        <v>0</v>
      </c>
      <c r="F19" s="1">
        <v>7</v>
      </c>
      <c r="G19" s="1">
        <v>7</v>
      </c>
      <c r="H19" s="1">
        <v>7</v>
      </c>
      <c r="I19" s="1">
        <v>0</v>
      </c>
      <c r="J19" s="3">
        <v>0</v>
      </c>
      <c r="K19" s="3">
        <v>-5860000</v>
      </c>
      <c r="L19" s="11">
        <v>0.45322899999999999</v>
      </c>
      <c r="M19" s="3">
        <f t="shared" si="0"/>
        <v>6798.4349999999995</v>
      </c>
      <c r="N19" s="14">
        <f t="shared" si="3"/>
        <v>-5866798.4349999996</v>
      </c>
      <c r="O19" s="7">
        <v>0</v>
      </c>
      <c r="P19" s="10">
        <v>0</v>
      </c>
      <c r="Q19" s="10">
        <v>0</v>
      </c>
      <c r="R19" s="3">
        <v>0</v>
      </c>
      <c r="S19" s="3">
        <v>0</v>
      </c>
      <c r="T19" s="11"/>
      <c r="U19" s="3">
        <f t="shared" si="2"/>
        <v>0</v>
      </c>
      <c r="V19" s="14">
        <f t="shared" si="4"/>
        <v>-5866798.4349999996</v>
      </c>
    </row>
    <row r="20" spans="2:22" x14ac:dyDescent="0.3">
      <c r="B20" s="1" t="s">
        <v>46</v>
      </c>
      <c r="C20" s="1" t="s">
        <v>25</v>
      </c>
      <c r="D20" s="1">
        <v>30</v>
      </c>
      <c r="E20" s="1">
        <v>2</v>
      </c>
      <c r="F20" s="1">
        <v>30</v>
      </c>
      <c r="G20" s="1">
        <v>30</v>
      </c>
      <c r="H20" s="1">
        <v>30</v>
      </c>
      <c r="I20" s="1">
        <v>0</v>
      </c>
      <c r="J20" s="13">
        <v>0</v>
      </c>
      <c r="K20" s="13">
        <v>-14952883</v>
      </c>
      <c r="L20" s="11">
        <v>2.3667579999999999</v>
      </c>
      <c r="M20" s="3">
        <f>L20*$I$2</f>
        <v>35501.369999999995</v>
      </c>
      <c r="N20" s="14">
        <f t="shared" si="3"/>
        <v>-14988384.369999999</v>
      </c>
      <c r="O20" s="10">
        <v>0</v>
      </c>
      <c r="P20" s="10">
        <v>0</v>
      </c>
      <c r="Q20" s="10">
        <v>0</v>
      </c>
      <c r="R20" s="3">
        <v>0</v>
      </c>
      <c r="S20" s="3">
        <v>0</v>
      </c>
      <c r="T20" s="11"/>
      <c r="U20" s="3">
        <f t="shared" si="2"/>
        <v>0</v>
      </c>
      <c r="V20" s="14">
        <f t="shared" si="4"/>
        <v>-14988384.369999999</v>
      </c>
    </row>
    <row r="21" spans="2:22" x14ac:dyDescent="0.3">
      <c r="B21" s="1" t="s">
        <v>292</v>
      </c>
      <c r="C21" s="1">
        <v>2009</v>
      </c>
      <c r="D21" s="1">
        <v>3</v>
      </c>
      <c r="E21" s="1">
        <v>1</v>
      </c>
      <c r="F21" s="1">
        <v>3</v>
      </c>
      <c r="G21" s="1">
        <v>3</v>
      </c>
      <c r="H21" s="1">
        <v>3</v>
      </c>
      <c r="I21" s="1">
        <v>1</v>
      </c>
      <c r="J21" s="13">
        <v>31550</v>
      </c>
      <c r="K21" s="13">
        <v>-155000</v>
      </c>
      <c r="L21" s="11">
        <v>10.488580000000001</v>
      </c>
      <c r="M21" s="3">
        <f t="shared" si="0"/>
        <v>157328.70000000001</v>
      </c>
      <c r="N21" s="14">
        <f t="shared" ref="N21:N22" si="5">J21+K21-M21</f>
        <v>-280778.7</v>
      </c>
      <c r="O21" s="10">
        <v>1</v>
      </c>
      <c r="P21" s="10">
        <v>9</v>
      </c>
      <c r="Q21" s="10">
        <v>7</v>
      </c>
      <c r="R21" s="3">
        <v>0</v>
      </c>
      <c r="S21" s="3">
        <v>640259.30000000005</v>
      </c>
      <c r="T21" s="11"/>
      <c r="U21" s="3">
        <f t="shared" si="2"/>
        <v>0</v>
      </c>
      <c r="V21" s="14">
        <f t="shared" ref="V21:V22" si="6">N21+R21-S21-U21</f>
        <v>-921038</v>
      </c>
    </row>
    <row r="22" spans="2:22" x14ac:dyDescent="0.3">
      <c r="B22" s="1" t="s">
        <v>292</v>
      </c>
      <c r="C22" s="1">
        <v>2010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3">
        <v>0</v>
      </c>
      <c r="K22" s="13">
        <v>-38357</v>
      </c>
      <c r="L22" s="11">
        <v>1.575342</v>
      </c>
      <c r="M22" s="3">
        <f>L22*$I$2</f>
        <v>23630.13</v>
      </c>
      <c r="N22" s="14">
        <f t="shared" si="5"/>
        <v>-61987.130000000005</v>
      </c>
      <c r="O22" s="10">
        <v>0</v>
      </c>
      <c r="P22" s="10">
        <v>0</v>
      </c>
      <c r="Q22" s="10">
        <v>0</v>
      </c>
      <c r="R22" s="3">
        <v>0</v>
      </c>
      <c r="S22" s="3">
        <v>0</v>
      </c>
      <c r="T22" s="11"/>
      <c r="U22" s="3">
        <f t="shared" si="2"/>
        <v>0</v>
      </c>
      <c r="V22" s="14">
        <f t="shared" si="6"/>
        <v>-61987.130000000005</v>
      </c>
    </row>
    <row r="23" spans="2:22" x14ac:dyDescent="0.3">
      <c r="B23" s="1" t="s">
        <v>139</v>
      </c>
      <c r="C23" s="1">
        <v>2004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0</v>
      </c>
      <c r="J23" s="13">
        <v>0</v>
      </c>
      <c r="K23" s="13">
        <v>-81004</v>
      </c>
      <c r="L23" s="11">
        <v>4.0191780000000001</v>
      </c>
      <c r="M23" s="3">
        <f t="shared" ref="M23:M40" si="7">L23*$I$2</f>
        <v>60287.670000000006</v>
      </c>
      <c r="N23" s="14">
        <f t="shared" ref="N23:N40" si="8">J23+K23-M23</f>
        <v>-141291.67000000001</v>
      </c>
      <c r="O23" s="10">
        <v>2</v>
      </c>
      <c r="P23" s="10">
        <v>6</v>
      </c>
      <c r="Q23" s="10">
        <v>5</v>
      </c>
      <c r="R23" s="3">
        <v>255000</v>
      </c>
      <c r="S23" s="3">
        <v>133653.79999999999</v>
      </c>
      <c r="T23" s="11">
        <v>3.8219180000000001</v>
      </c>
      <c r="U23" s="3">
        <f t="shared" si="2"/>
        <v>57328.770000000004</v>
      </c>
      <c r="V23" s="14">
        <f t="shared" ref="V23:V40" si="9">N23+R23-S23-U23</f>
        <v>-77274.240000000005</v>
      </c>
    </row>
    <row r="24" spans="2:22" x14ac:dyDescent="0.3">
      <c r="B24" s="1" t="s">
        <v>139</v>
      </c>
      <c r="C24" s="1">
        <v>2005</v>
      </c>
      <c r="D24" s="1">
        <v>5</v>
      </c>
      <c r="E24" s="1">
        <v>3</v>
      </c>
      <c r="F24" s="1">
        <v>5</v>
      </c>
      <c r="G24" s="1">
        <v>5</v>
      </c>
      <c r="H24" s="1">
        <v>5</v>
      </c>
      <c r="I24" s="1">
        <v>0</v>
      </c>
      <c r="J24" s="13">
        <v>0</v>
      </c>
      <c r="K24" s="13">
        <v>574165</v>
      </c>
      <c r="L24" s="11">
        <v>8.1561640000000004</v>
      </c>
      <c r="M24" s="3">
        <f t="shared" si="7"/>
        <v>122342.46</v>
      </c>
      <c r="N24" s="14">
        <f t="shared" si="8"/>
        <v>451822.54</v>
      </c>
      <c r="O24" s="10">
        <v>5</v>
      </c>
      <c r="P24" s="10">
        <v>20</v>
      </c>
      <c r="Q24" s="10">
        <v>19</v>
      </c>
      <c r="R24" s="3">
        <v>2095600</v>
      </c>
      <c r="S24" s="3">
        <v>581344.6</v>
      </c>
      <c r="T24" s="11">
        <v>4.2609589999999997</v>
      </c>
      <c r="U24" s="3">
        <f t="shared" si="2"/>
        <v>63914.384999999995</v>
      </c>
      <c r="V24" s="14">
        <f t="shared" si="9"/>
        <v>1902163.5549999999</v>
      </c>
    </row>
    <row r="25" spans="2:22" x14ac:dyDescent="0.3">
      <c r="B25" s="1" t="s">
        <v>139</v>
      </c>
      <c r="C25" s="1">
        <v>2006</v>
      </c>
      <c r="D25" s="1">
        <v>5</v>
      </c>
      <c r="E25" s="1">
        <v>5</v>
      </c>
      <c r="F25" s="1">
        <v>5</v>
      </c>
      <c r="G25" s="1">
        <v>5</v>
      </c>
      <c r="H25" s="1">
        <v>5</v>
      </c>
      <c r="I25" s="1">
        <v>0</v>
      </c>
      <c r="J25" s="13">
        <v>0</v>
      </c>
      <c r="K25" s="13">
        <v>1143117</v>
      </c>
      <c r="L25" s="11">
        <v>2.7654800000000002</v>
      </c>
      <c r="M25" s="3">
        <f t="shared" si="7"/>
        <v>41482.200000000004</v>
      </c>
      <c r="N25" s="14">
        <f t="shared" si="8"/>
        <v>1101634.8</v>
      </c>
      <c r="O25" s="10">
        <v>4</v>
      </c>
      <c r="P25" s="10">
        <v>9</v>
      </c>
      <c r="Q25" s="10">
        <v>9</v>
      </c>
      <c r="R25" s="3">
        <v>656050</v>
      </c>
      <c r="S25" s="3">
        <v>162500</v>
      </c>
      <c r="T25" s="11">
        <v>4.7678079999999996</v>
      </c>
      <c r="U25" s="3">
        <f t="shared" si="2"/>
        <v>71517.119999999995</v>
      </c>
      <c r="V25" s="14">
        <f t="shared" si="9"/>
        <v>1523667.6800000002</v>
      </c>
    </row>
    <row r="26" spans="2:22" x14ac:dyDescent="0.3">
      <c r="B26" s="1" t="s">
        <v>139</v>
      </c>
      <c r="C26" s="1">
        <v>2007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0</v>
      </c>
      <c r="J26" s="13">
        <v>0</v>
      </c>
      <c r="K26" s="13">
        <v>222000</v>
      </c>
      <c r="L26" s="11">
        <v>1.8671230000000001</v>
      </c>
      <c r="M26" s="3">
        <f t="shared" si="7"/>
        <v>28006.845000000001</v>
      </c>
      <c r="N26" s="14">
        <f t="shared" si="8"/>
        <v>193993.155</v>
      </c>
      <c r="O26" s="10">
        <v>1</v>
      </c>
      <c r="P26" s="10">
        <v>2</v>
      </c>
      <c r="Q26" s="10">
        <v>2</v>
      </c>
      <c r="R26" s="3">
        <v>0</v>
      </c>
      <c r="S26" s="3">
        <v>190000</v>
      </c>
      <c r="T26" s="11"/>
      <c r="U26" s="3">
        <f t="shared" si="2"/>
        <v>0</v>
      </c>
      <c r="V26" s="14">
        <f t="shared" si="9"/>
        <v>3993.1549999999988</v>
      </c>
    </row>
    <row r="27" spans="2:22" x14ac:dyDescent="0.3">
      <c r="B27" s="1" t="s">
        <v>139</v>
      </c>
      <c r="C27" s="1">
        <v>2008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0</v>
      </c>
      <c r="J27" s="13">
        <v>0</v>
      </c>
      <c r="K27" s="13">
        <v>681368</v>
      </c>
      <c r="L27" s="11">
        <v>2.2016439999999999</v>
      </c>
      <c r="M27" s="3">
        <f t="shared" si="7"/>
        <v>33024.659999999996</v>
      </c>
      <c r="N27" s="14">
        <f t="shared" si="8"/>
        <v>648343.34</v>
      </c>
      <c r="O27" s="10">
        <v>5</v>
      </c>
      <c r="P27" s="10">
        <v>6</v>
      </c>
      <c r="Q27" s="10">
        <v>5</v>
      </c>
      <c r="R27" s="3">
        <v>267000</v>
      </c>
      <c r="S27" s="3">
        <v>223548.4</v>
      </c>
      <c r="T27" s="11">
        <v>1.1698630000000001</v>
      </c>
      <c r="U27" s="3">
        <f t="shared" si="2"/>
        <v>17547.945</v>
      </c>
      <c r="V27" s="14">
        <f t="shared" si="9"/>
        <v>674246.995</v>
      </c>
    </row>
    <row r="28" spans="2:22" x14ac:dyDescent="0.3">
      <c r="B28" s="1" t="s">
        <v>139</v>
      </c>
      <c r="C28" s="1">
        <v>2009</v>
      </c>
      <c r="D28" s="1">
        <v>7</v>
      </c>
      <c r="E28" s="1">
        <v>6</v>
      </c>
      <c r="F28" s="1">
        <v>7</v>
      </c>
      <c r="G28" s="1">
        <v>7</v>
      </c>
      <c r="H28" s="1">
        <v>7</v>
      </c>
      <c r="I28" s="1">
        <v>1</v>
      </c>
      <c r="J28" s="13">
        <v>25000</v>
      </c>
      <c r="K28" s="13">
        <v>-485472</v>
      </c>
      <c r="L28" s="11">
        <v>3.9534250000000002</v>
      </c>
      <c r="M28" s="3">
        <f t="shared" si="7"/>
        <v>59301.375</v>
      </c>
      <c r="N28" s="14">
        <f t="shared" si="8"/>
        <v>-519773.375</v>
      </c>
      <c r="O28" s="10">
        <v>7</v>
      </c>
      <c r="P28" s="10">
        <v>17</v>
      </c>
      <c r="Q28" s="10">
        <v>14</v>
      </c>
      <c r="R28" s="3">
        <v>268000</v>
      </c>
      <c r="S28" s="3">
        <v>478626.6</v>
      </c>
      <c r="T28" s="11">
        <v>3.7554789999999998</v>
      </c>
      <c r="U28" s="3">
        <f t="shared" si="2"/>
        <v>56332.184999999998</v>
      </c>
      <c r="V28" s="14">
        <f t="shared" si="9"/>
        <v>-786732.15999999992</v>
      </c>
    </row>
    <row r="29" spans="2:22" x14ac:dyDescent="0.3">
      <c r="B29" s="1" t="s">
        <v>139</v>
      </c>
      <c r="C29" s="1">
        <v>2010</v>
      </c>
      <c r="D29" s="1">
        <v>8</v>
      </c>
      <c r="E29" s="1">
        <v>5</v>
      </c>
      <c r="F29" s="1">
        <v>8</v>
      </c>
      <c r="G29" s="1">
        <v>8</v>
      </c>
      <c r="H29" s="1">
        <v>8</v>
      </c>
      <c r="I29" s="1">
        <v>0</v>
      </c>
      <c r="J29" s="13">
        <v>0</v>
      </c>
      <c r="K29" s="13">
        <v>978300</v>
      </c>
      <c r="L29" s="11">
        <v>4.54589</v>
      </c>
      <c r="M29" s="3">
        <f t="shared" si="7"/>
        <v>68188.350000000006</v>
      </c>
      <c r="N29" s="14">
        <f t="shared" si="8"/>
        <v>910111.65</v>
      </c>
      <c r="O29" s="10">
        <v>7</v>
      </c>
      <c r="P29" s="10">
        <v>25</v>
      </c>
      <c r="Q29" s="10">
        <v>23</v>
      </c>
      <c r="R29" s="3">
        <v>280000</v>
      </c>
      <c r="S29" s="3">
        <v>522500</v>
      </c>
      <c r="T29" s="11">
        <v>1.3616440000000001</v>
      </c>
      <c r="U29" s="3">
        <f t="shared" si="2"/>
        <v>20424.66</v>
      </c>
      <c r="V29" s="14">
        <f t="shared" si="9"/>
        <v>647186.98999999987</v>
      </c>
    </row>
    <row r="30" spans="2:22" x14ac:dyDescent="0.3">
      <c r="B30" s="1" t="s">
        <v>139</v>
      </c>
      <c r="C30" s="1">
        <v>2011</v>
      </c>
      <c r="D30" s="1">
        <v>12</v>
      </c>
      <c r="E30" s="1">
        <v>9</v>
      </c>
      <c r="F30" s="1">
        <v>12</v>
      </c>
      <c r="G30" s="1">
        <v>12</v>
      </c>
      <c r="H30" s="1">
        <v>12</v>
      </c>
      <c r="I30" s="1">
        <v>1</v>
      </c>
      <c r="J30" s="13">
        <v>326100</v>
      </c>
      <c r="K30" s="13">
        <v>-683724</v>
      </c>
      <c r="L30" s="11">
        <v>4.431279</v>
      </c>
      <c r="M30" s="3">
        <f t="shared" si="7"/>
        <v>66469.184999999998</v>
      </c>
      <c r="N30" s="14">
        <f t="shared" si="8"/>
        <v>-424093.185</v>
      </c>
      <c r="O30" s="10">
        <v>11</v>
      </c>
      <c r="P30" s="10">
        <v>37</v>
      </c>
      <c r="Q30" s="10">
        <v>27</v>
      </c>
      <c r="R30" s="3">
        <v>2041515</v>
      </c>
      <c r="S30" s="3">
        <v>2154037</v>
      </c>
      <c r="T30" s="11">
        <v>2.4264839999999999</v>
      </c>
      <c r="U30" s="3">
        <f t="shared" si="2"/>
        <v>36397.259999999995</v>
      </c>
      <c r="V30" s="14">
        <f t="shared" si="9"/>
        <v>-573012.44500000007</v>
      </c>
    </row>
    <row r="31" spans="2:22" x14ac:dyDescent="0.3">
      <c r="B31" s="1" t="s">
        <v>139</v>
      </c>
      <c r="C31" s="1">
        <v>2012</v>
      </c>
      <c r="D31" s="1">
        <v>11</v>
      </c>
      <c r="E31" s="1">
        <v>5</v>
      </c>
      <c r="F31" s="1">
        <v>11</v>
      </c>
      <c r="G31" s="1">
        <v>11</v>
      </c>
      <c r="H31" s="1">
        <v>11</v>
      </c>
      <c r="I31" s="1">
        <v>1</v>
      </c>
      <c r="J31" s="13">
        <v>165000</v>
      </c>
      <c r="K31" s="13">
        <v>-1095848</v>
      </c>
      <c r="L31" s="11">
        <v>5.1457030000000001</v>
      </c>
      <c r="M31" s="3">
        <f t="shared" si="7"/>
        <v>77185.544999999998</v>
      </c>
      <c r="N31" s="14">
        <f t="shared" si="8"/>
        <v>-1008033.545</v>
      </c>
      <c r="O31" s="10">
        <v>10</v>
      </c>
      <c r="P31" s="10">
        <v>37</v>
      </c>
      <c r="Q31" s="10">
        <v>28</v>
      </c>
      <c r="R31" s="3">
        <v>35000</v>
      </c>
      <c r="S31" s="3">
        <v>335210.90000000002</v>
      </c>
      <c r="T31" s="11">
        <v>1.6301369999999999</v>
      </c>
      <c r="U31" s="3">
        <f t="shared" si="2"/>
        <v>24452.055</v>
      </c>
      <c r="V31" s="14">
        <f t="shared" si="9"/>
        <v>-1332696.5</v>
      </c>
    </row>
    <row r="32" spans="2:22" x14ac:dyDescent="0.3">
      <c r="B32" s="1" t="s">
        <v>139</v>
      </c>
      <c r="C32" s="1">
        <v>2013</v>
      </c>
      <c r="D32" s="1">
        <v>6</v>
      </c>
      <c r="E32" s="1">
        <v>4</v>
      </c>
      <c r="F32" s="1">
        <v>6</v>
      </c>
      <c r="G32" s="1">
        <v>6</v>
      </c>
      <c r="H32" s="1">
        <v>6</v>
      </c>
      <c r="I32" s="1">
        <v>1</v>
      </c>
      <c r="J32" s="13">
        <v>12000</v>
      </c>
      <c r="K32" s="13">
        <v>824354</v>
      </c>
      <c r="L32" s="11">
        <v>3.518265</v>
      </c>
      <c r="M32" s="3">
        <f t="shared" si="7"/>
        <v>52773.974999999999</v>
      </c>
      <c r="N32" s="14">
        <f t="shared" si="8"/>
        <v>783580.02500000002</v>
      </c>
      <c r="O32" s="10">
        <v>3</v>
      </c>
      <c r="P32" s="10">
        <v>13</v>
      </c>
      <c r="Q32" s="10">
        <v>11</v>
      </c>
      <c r="R32" s="3">
        <v>0</v>
      </c>
      <c r="S32" s="3">
        <v>110788.6</v>
      </c>
      <c r="T32" s="11"/>
      <c r="U32" s="3">
        <f t="shared" si="2"/>
        <v>0</v>
      </c>
      <c r="V32" s="14">
        <f t="shared" si="9"/>
        <v>672791.42500000005</v>
      </c>
    </row>
    <row r="33" spans="2:22" x14ac:dyDescent="0.3">
      <c r="B33" s="1" t="s">
        <v>139</v>
      </c>
      <c r="C33" s="1">
        <v>2014</v>
      </c>
      <c r="D33" s="1">
        <v>8</v>
      </c>
      <c r="E33" s="1">
        <v>3</v>
      </c>
      <c r="F33" s="1">
        <v>8</v>
      </c>
      <c r="G33" s="1">
        <v>8</v>
      </c>
      <c r="H33" s="1">
        <v>8</v>
      </c>
      <c r="I33" s="1">
        <v>0</v>
      </c>
      <c r="J33" s="13">
        <v>0</v>
      </c>
      <c r="K33" s="13">
        <v>1317000</v>
      </c>
      <c r="L33" s="11">
        <v>4.6791099999999997</v>
      </c>
      <c r="M33" s="3">
        <f t="shared" si="7"/>
        <v>70186.649999999994</v>
      </c>
      <c r="N33" s="14">
        <f t="shared" si="8"/>
        <v>1246813.3500000001</v>
      </c>
      <c r="O33" s="10">
        <v>8</v>
      </c>
      <c r="P33" s="10">
        <v>20</v>
      </c>
      <c r="Q33" s="10">
        <v>16</v>
      </c>
      <c r="R33" s="3">
        <v>112045</v>
      </c>
      <c r="S33" s="3">
        <v>279537</v>
      </c>
      <c r="T33" s="11">
        <v>2.7506849999999998</v>
      </c>
      <c r="U33" s="3">
        <f t="shared" si="2"/>
        <v>41260.274999999994</v>
      </c>
      <c r="V33" s="14">
        <f t="shared" si="9"/>
        <v>1038061.0750000001</v>
      </c>
    </row>
    <row r="34" spans="2:22" x14ac:dyDescent="0.3">
      <c r="B34" s="1" t="s">
        <v>139</v>
      </c>
      <c r="C34" s="1">
        <v>2015</v>
      </c>
      <c r="D34" s="1">
        <v>5</v>
      </c>
      <c r="E34" s="1">
        <v>2</v>
      </c>
      <c r="F34" s="1">
        <v>5</v>
      </c>
      <c r="G34" s="1">
        <v>5</v>
      </c>
      <c r="H34" s="1">
        <v>5</v>
      </c>
      <c r="I34" s="1">
        <v>1</v>
      </c>
      <c r="J34" s="13">
        <v>60000</v>
      </c>
      <c r="K34" s="13">
        <v>-339336</v>
      </c>
      <c r="L34" s="11">
        <v>4.3430140000000002</v>
      </c>
      <c r="M34" s="3">
        <f t="shared" si="7"/>
        <v>65145.21</v>
      </c>
      <c r="N34" s="14">
        <f t="shared" si="8"/>
        <v>-344481.21</v>
      </c>
      <c r="O34" s="10">
        <v>5</v>
      </c>
      <c r="P34" s="10">
        <v>13</v>
      </c>
      <c r="Q34" s="10">
        <v>13</v>
      </c>
      <c r="R34" s="3">
        <v>75000</v>
      </c>
      <c r="S34" s="3">
        <v>175422.9</v>
      </c>
      <c r="T34" s="11">
        <v>0.69863019999999998</v>
      </c>
      <c r="U34" s="3">
        <f t="shared" si="2"/>
        <v>10479.453</v>
      </c>
      <c r="V34" s="14">
        <f t="shared" si="9"/>
        <v>-455383.56299999997</v>
      </c>
    </row>
    <row r="35" spans="2:22" x14ac:dyDescent="0.3">
      <c r="B35" s="1" t="s">
        <v>139</v>
      </c>
      <c r="C35" s="1">
        <v>2016</v>
      </c>
      <c r="D35" s="1">
        <v>7</v>
      </c>
      <c r="E35" s="1">
        <v>4</v>
      </c>
      <c r="F35" s="1">
        <v>7</v>
      </c>
      <c r="G35" s="1">
        <v>7</v>
      </c>
      <c r="H35" s="1">
        <v>7</v>
      </c>
      <c r="I35" s="1">
        <v>3</v>
      </c>
      <c r="J35" s="13">
        <v>80907.8</v>
      </c>
      <c r="K35" s="13">
        <v>797006</v>
      </c>
      <c r="L35" s="11">
        <v>2.5976520000000001</v>
      </c>
      <c r="M35" s="3">
        <f t="shared" si="7"/>
        <v>38964.78</v>
      </c>
      <c r="N35" s="14">
        <f t="shared" si="8"/>
        <v>838949.02</v>
      </c>
      <c r="O35" s="10">
        <v>5</v>
      </c>
      <c r="P35" s="10">
        <v>8</v>
      </c>
      <c r="Q35" s="10">
        <v>7</v>
      </c>
      <c r="R35" s="3">
        <v>65000</v>
      </c>
      <c r="S35" s="3">
        <v>694292.8</v>
      </c>
      <c r="T35" s="11">
        <v>1.5424659999999999</v>
      </c>
      <c r="U35" s="3">
        <f t="shared" si="2"/>
        <v>23136.989999999998</v>
      </c>
      <c r="V35" s="14">
        <f t="shared" si="9"/>
        <v>186519.22999999998</v>
      </c>
    </row>
    <row r="36" spans="2:22" x14ac:dyDescent="0.3">
      <c r="B36" s="1" t="s">
        <v>139</v>
      </c>
      <c r="C36" s="1">
        <v>2018</v>
      </c>
      <c r="D36" s="1">
        <v>6</v>
      </c>
      <c r="E36" s="1">
        <v>1</v>
      </c>
      <c r="F36" s="1">
        <v>6</v>
      </c>
      <c r="G36" s="1">
        <v>6</v>
      </c>
      <c r="H36" s="1">
        <v>6</v>
      </c>
      <c r="I36" s="1">
        <v>0</v>
      </c>
      <c r="J36" s="13">
        <v>0</v>
      </c>
      <c r="K36" s="13">
        <v>-545000</v>
      </c>
      <c r="L36" s="11">
        <v>1.165753</v>
      </c>
      <c r="M36" s="3">
        <f t="shared" si="7"/>
        <v>17486.295000000002</v>
      </c>
      <c r="N36" s="14">
        <f t="shared" si="8"/>
        <v>-562486.29500000004</v>
      </c>
      <c r="O36" s="10">
        <v>3</v>
      </c>
      <c r="P36" s="10">
        <v>3</v>
      </c>
      <c r="Q36" s="10">
        <v>0</v>
      </c>
      <c r="R36" s="3">
        <v>0</v>
      </c>
      <c r="S36" s="3">
        <v>400000</v>
      </c>
      <c r="T36" s="11"/>
      <c r="U36" s="3">
        <f t="shared" si="2"/>
        <v>0</v>
      </c>
      <c r="V36" s="14">
        <f t="shared" si="9"/>
        <v>-962486.29500000004</v>
      </c>
    </row>
    <row r="37" spans="2:22" x14ac:dyDescent="0.3">
      <c r="B37" s="1" t="s">
        <v>139</v>
      </c>
      <c r="C37" s="1">
        <v>2019</v>
      </c>
      <c r="D37" s="1">
        <v>1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3">
        <v>0</v>
      </c>
      <c r="K37" s="13">
        <v>-145000</v>
      </c>
      <c r="L37" s="11">
        <v>0.26575339999999997</v>
      </c>
      <c r="M37" s="3">
        <f t="shared" si="7"/>
        <v>3986.3009999999995</v>
      </c>
      <c r="N37" s="14">
        <f t="shared" si="8"/>
        <v>-148986.30100000001</v>
      </c>
      <c r="O37" s="10">
        <v>0</v>
      </c>
      <c r="P37" s="10">
        <v>0</v>
      </c>
      <c r="Q37" s="10">
        <v>0</v>
      </c>
      <c r="R37" s="3">
        <v>0</v>
      </c>
      <c r="S37" s="3">
        <v>0</v>
      </c>
      <c r="T37" s="11"/>
      <c r="U37" s="3">
        <f t="shared" si="2"/>
        <v>0</v>
      </c>
      <c r="V37" s="14">
        <f t="shared" si="9"/>
        <v>-148986.30100000001</v>
      </c>
    </row>
    <row r="38" spans="2:22" x14ac:dyDescent="0.3">
      <c r="B38" s="1" t="s">
        <v>139</v>
      </c>
      <c r="C38" s="1">
        <v>2020</v>
      </c>
      <c r="D38" s="1">
        <v>2</v>
      </c>
      <c r="E38" s="1">
        <v>1</v>
      </c>
      <c r="F38" s="1">
        <v>2</v>
      </c>
      <c r="G38" s="1">
        <v>2</v>
      </c>
      <c r="H38" s="1">
        <v>2</v>
      </c>
      <c r="I38" s="1">
        <v>0</v>
      </c>
      <c r="J38" s="13">
        <v>0</v>
      </c>
      <c r="K38" s="13">
        <v>140000</v>
      </c>
      <c r="L38" s="11">
        <v>0.96164380000000005</v>
      </c>
      <c r="M38" s="3">
        <f t="shared" si="7"/>
        <v>14424.657000000001</v>
      </c>
      <c r="N38" s="14">
        <f t="shared" si="8"/>
        <v>125575.34299999999</v>
      </c>
      <c r="O38" s="10">
        <v>1</v>
      </c>
      <c r="P38" s="10">
        <v>1</v>
      </c>
      <c r="Q38" s="10">
        <v>0</v>
      </c>
      <c r="R38" s="3">
        <v>0</v>
      </c>
      <c r="S38" s="3">
        <v>110000</v>
      </c>
      <c r="T38" s="11"/>
      <c r="U38" s="3">
        <f t="shared" si="2"/>
        <v>0</v>
      </c>
      <c r="V38" s="14">
        <f t="shared" si="9"/>
        <v>15575.342999999993</v>
      </c>
    </row>
    <row r="39" spans="2:22" x14ac:dyDescent="0.3">
      <c r="B39" s="1" t="s">
        <v>139</v>
      </c>
      <c r="C39" s="1">
        <v>2021</v>
      </c>
      <c r="D39" s="1">
        <v>2</v>
      </c>
      <c r="E39" s="1">
        <v>0</v>
      </c>
      <c r="F39" s="1">
        <v>2</v>
      </c>
      <c r="G39" s="1">
        <v>2</v>
      </c>
      <c r="H39" s="1">
        <v>2</v>
      </c>
      <c r="I39" s="1">
        <v>0</v>
      </c>
      <c r="J39" s="13">
        <v>0</v>
      </c>
      <c r="K39" s="13">
        <v>-235000</v>
      </c>
      <c r="L39" s="11">
        <v>0.26575339999999997</v>
      </c>
      <c r="M39" s="3">
        <f t="shared" si="7"/>
        <v>3986.3009999999995</v>
      </c>
      <c r="N39" s="14">
        <f t="shared" si="8"/>
        <v>-238986.30100000001</v>
      </c>
      <c r="O39" s="10">
        <v>0</v>
      </c>
      <c r="P39" s="10">
        <v>0</v>
      </c>
      <c r="Q39" s="10">
        <v>0</v>
      </c>
      <c r="R39" s="3">
        <v>0</v>
      </c>
      <c r="S39" s="3">
        <v>0</v>
      </c>
      <c r="T39" s="11"/>
      <c r="U39" s="3">
        <f t="shared" si="2"/>
        <v>0</v>
      </c>
      <c r="V39" s="14">
        <f t="shared" si="9"/>
        <v>-238986.30100000001</v>
      </c>
    </row>
    <row r="40" spans="2:22" x14ac:dyDescent="0.3">
      <c r="B40" s="1" t="s">
        <v>139</v>
      </c>
      <c r="C40" s="1" t="s">
        <v>25</v>
      </c>
      <c r="D40" s="1">
        <v>7</v>
      </c>
      <c r="E40" s="1">
        <v>5</v>
      </c>
      <c r="F40" s="1">
        <v>7</v>
      </c>
      <c r="G40" s="1">
        <v>7</v>
      </c>
      <c r="H40" s="1">
        <v>7</v>
      </c>
      <c r="I40" s="1">
        <v>0</v>
      </c>
      <c r="J40" s="13">
        <v>0</v>
      </c>
      <c r="K40" s="13">
        <v>-412991</v>
      </c>
      <c r="L40" s="11">
        <v>4.9902150000000001</v>
      </c>
      <c r="M40" s="3">
        <f t="shared" si="7"/>
        <v>74853.225000000006</v>
      </c>
      <c r="N40" s="14">
        <f t="shared" si="8"/>
        <v>-487844.22499999998</v>
      </c>
      <c r="O40" s="10">
        <v>0</v>
      </c>
      <c r="P40" s="10">
        <v>0</v>
      </c>
      <c r="Q40" s="10">
        <v>0</v>
      </c>
      <c r="R40" s="3">
        <v>0</v>
      </c>
      <c r="S40" s="3">
        <v>0</v>
      </c>
      <c r="T40" s="11"/>
      <c r="U40" s="3">
        <f t="shared" si="2"/>
        <v>0</v>
      </c>
      <c r="V40" s="14">
        <f t="shared" si="9"/>
        <v>-487844.22499999998</v>
      </c>
    </row>
  </sheetData>
  <mergeCells count="2">
    <mergeCell ref="B2:D2"/>
    <mergeCell ref="F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BB04E-05ED-49B6-B876-57D9FFE9B6EA}">
  <dimension ref="A1:EA252"/>
  <sheetViews>
    <sheetView tabSelected="1" topLeftCell="B1" workbookViewId="0">
      <pane xSplit="2" ySplit="2" topLeftCell="D225" activePane="bottomRight" state="frozen"/>
      <selection activeCell="B1" sqref="B1"/>
      <selection pane="topRight" activeCell="D1" sqref="D1"/>
      <selection pane="bottomLeft" activeCell="B3" sqref="B3"/>
      <selection pane="bottomRight" activeCell="H240" sqref="H240"/>
    </sheetView>
  </sheetViews>
  <sheetFormatPr defaultRowHeight="14.4" x14ac:dyDescent="0.3"/>
  <cols>
    <col min="1" max="1" width="10.88671875" bestFit="1" customWidth="1"/>
    <col min="2" max="2" width="22" bestFit="1" customWidth="1"/>
    <col min="3" max="3" width="25.109375" bestFit="1" customWidth="1"/>
    <col min="4" max="4" width="13.33203125" bestFit="1" customWidth="1"/>
    <col min="5" max="5" width="15.109375" bestFit="1" customWidth="1"/>
    <col min="6" max="6" width="15.21875" bestFit="1" customWidth="1"/>
    <col min="7" max="7" width="16.77734375" bestFit="1" customWidth="1"/>
    <col min="8" max="8" width="16.109375" bestFit="1" customWidth="1"/>
    <col min="9" max="9" width="12.5546875" bestFit="1" customWidth="1"/>
    <col min="10" max="10" width="15.21875" bestFit="1" customWidth="1"/>
    <col min="11" max="11" width="11.5546875" bestFit="1" customWidth="1"/>
    <col min="12" max="12" width="11.5546875" customWidth="1"/>
    <col min="13" max="13" width="14.6640625" bestFit="1" customWidth="1"/>
    <col min="14" max="14" width="11" bestFit="1" customWidth="1"/>
    <col min="15" max="15" width="14.77734375" customWidth="1"/>
    <col min="16" max="16" width="14.6640625" bestFit="1" customWidth="1"/>
    <col min="17" max="17" width="11" customWidth="1"/>
    <col min="18" max="18" width="11.77734375" bestFit="1" customWidth="1"/>
    <col min="19" max="19" width="12.6640625" bestFit="1" customWidth="1"/>
    <col min="20" max="20" width="13.6640625" bestFit="1" customWidth="1"/>
    <col min="21" max="21" width="14.6640625" bestFit="1" customWidth="1"/>
    <col min="22" max="22" width="18.6640625" bestFit="1" customWidth="1"/>
    <col min="23" max="23" width="13.109375" bestFit="1" customWidth="1"/>
    <col min="24" max="32" width="14.77734375" customWidth="1"/>
    <col min="33" max="35" width="15.77734375" customWidth="1"/>
    <col min="36" max="44" width="17" customWidth="1"/>
    <col min="45" max="47" width="18" customWidth="1"/>
    <col min="48" max="56" width="15" customWidth="1"/>
    <col min="57" max="59" width="16" customWidth="1"/>
    <col min="60" max="68" width="14" customWidth="1"/>
    <col min="69" max="71" width="15" customWidth="1"/>
    <col min="72" max="80" width="17.88671875" customWidth="1"/>
    <col min="81" max="83" width="18.88671875" customWidth="1"/>
    <col min="84" max="92" width="14.44140625" customWidth="1"/>
    <col min="93" max="95" width="15.44140625" customWidth="1"/>
    <col min="96" max="104" width="13.6640625" customWidth="1"/>
    <col min="105" max="107" width="14.6640625" customWidth="1"/>
    <col min="108" max="116" width="11.21875" customWidth="1"/>
    <col min="117" max="119" width="12.21875" customWidth="1"/>
    <col min="120" max="128" width="9.88671875" customWidth="1"/>
    <col min="129" max="131" width="10.88671875" customWidth="1"/>
  </cols>
  <sheetData>
    <row r="1" spans="1:131" x14ac:dyDescent="0.3">
      <c r="B1" s="1"/>
      <c r="C1" s="1"/>
      <c r="D1" s="1"/>
      <c r="E1" s="1"/>
      <c r="F1" s="1"/>
      <c r="G1" s="28" t="s">
        <v>1675</v>
      </c>
      <c r="H1" s="28"/>
      <c r="I1" s="28"/>
      <c r="J1" s="28"/>
      <c r="K1" s="28"/>
      <c r="L1" s="28"/>
      <c r="M1" s="28"/>
      <c r="N1" s="29" t="s">
        <v>1673</v>
      </c>
      <c r="O1" s="29"/>
      <c r="P1" s="29"/>
      <c r="Q1" s="29"/>
      <c r="R1" s="29"/>
      <c r="S1" s="29"/>
      <c r="T1" s="29"/>
      <c r="U1" s="29"/>
      <c r="V1" s="29"/>
      <c r="W1" s="29"/>
      <c r="X1" s="30" t="s">
        <v>1684</v>
      </c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</row>
    <row r="2" spans="1:131" s="1" customFormat="1" ht="72" x14ac:dyDescent="0.3">
      <c r="A2" s="1" t="s">
        <v>3</v>
      </c>
      <c r="B2" s="1" t="s">
        <v>2</v>
      </c>
      <c r="C2" s="1" t="s">
        <v>1555</v>
      </c>
      <c r="D2" s="12" t="s">
        <v>1668</v>
      </c>
      <c r="E2" s="12" t="s">
        <v>1669</v>
      </c>
      <c r="F2" s="12" t="s">
        <v>1681</v>
      </c>
      <c r="G2" s="20" t="s">
        <v>1686</v>
      </c>
      <c r="H2" s="20" t="s">
        <v>1685</v>
      </c>
      <c r="I2" s="20" t="s">
        <v>1680</v>
      </c>
      <c r="J2" s="20" t="s">
        <v>1674</v>
      </c>
      <c r="K2" s="20" t="s">
        <v>1678</v>
      </c>
      <c r="L2" s="20" t="s">
        <v>1679</v>
      </c>
      <c r="M2" s="20" t="s">
        <v>1524</v>
      </c>
      <c r="N2" s="19" t="s">
        <v>1682</v>
      </c>
      <c r="O2" s="19" t="s">
        <v>1683</v>
      </c>
      <c r="P2" s="19" t="s">
        <v>1547</v>
      </c>
      <c r="Q2" s="19" t="s">
        <v>1670</v>
      </c>
      <c r="R2" s="19" t="s">
        <v>1671</v>
      </c>
      <c r="S2" s="19" t="s">
        <v>1672</v>
      </c>
      <c r="T2" s="19" t="s">
        <v>1667</v>
      </c>
      <c r="U2" s="19" t="s">
        <v>1666</v>
      </c>
      <c r="V2" s="19" t="s">
        <v>1664</v>
      </c>
      <c r="W2" s="19" t="s">
        <v>1665</v>
      </c>
      <c r="X2" s="23" t="s">
        <v>1652</v>
      </c>
      <c r="Y2" s="23" t="s">
        <v>1653</v>
      </c>
      <c r="Z2" s="23" t="s">
        <v>1654</v>
      </c>
      <c r="AA2" s="23" t="s">
        <v>1655</v>
      </c>
      <c r="AB2" s="23" t="s">
        <v>1656</v>
      </c>
      <c r="AC2" s="23" t="s">
        <v>1657</v>
      </c>
      <c r="AD2" s="23" t="s">
        <v>1658</v>
      </c>
      <c r="AE2" s="23" t="s">
        <v>1659</v>
      </c>
      <c r="AF2" s="23" t="s">
        <v>1660</v>
      </c>
      <c r="AG2" s="23" t="s">
        <v>1661</v>
      </c>
      <c r="AH2" s="23" t="s">
        <v>1662</v>
      </c>
      <c r="AI2" s="23" t="s">
        <v>1663</v>
      </c>
      <c r="AJ2" s="1" t="s">
        <v>1568</v>
      </c>
      <c r="AK2" s="1" t="s">
        <v>1569</v>
      </c>
      <c r="AL2" s="1" t="s">
        <v>1570</v>
      </c>
      <c r="AM2" s="1" t="s">
        <v>1571</v>
      </c>
      <c r="AN2" s="1" t="s">
        <v>1572</v>
      </c>
      <c r="AO2" s="1" t="s">
        <v>1573</v>
      </c>
      <c r="AP2" s="1" t="s">
        <v>1574</v>
      </c>
      <c r="AQ2" s="1" t="s">
        <v>1575</v>
      </c>
      <c r="AR2" s="1" t="s">
        <v>1576</v>
      </c>
      <c r="AS2" s="1" t="s">
        <v>1577</v>
      </c>
      <c r="AT2" s="1" t="s">
        <v>1578</v>
      </c>
      <c r="AU2" s="1" t="s">
        <v>1579</v>
      </c>
      <c r="AV2" s="1" t="s">
        <v>1592</v>
      </c>
      <c r="AW2" s="1" t="s">
        <v>1593</v>
      </c>
      <c r="AX2" s="1" t="s">
        <v>1594</v>
      </c>
      <c r="AY2" s="1" t="s">
        <v>1595</v>
      </c>
      <c r="AZ2" s="1" t="s">
        <v>1596</v>
      </c>
      <c r="BA2" s="1" t="s">
        <v>1597</v>
      </c>
      <c r="BB2" s="1" t="s">
        <v>1598</v>
      </c>
      <c r="BC2" s="1" t="s">
        <v>1599</v>
      </c>
      <c r="BD2" s="1" t="s">
        <v>1600</v>
      </c>
      <c r="BE2" s="1" t="s">
        <v>1601</v>
      </c>
      <c r="BF2" s="1" t="s">
        <v>1602</v>
      </c>
      <c r="BG2" s="1" t="s">
        <v>1603</v>
      </c>
      <c r="BH2" s="1" t="s">
        <v>1628</v>
      </c>
      <c r="BI2" s="1" t="s">
        <v>1629</v>
      </c>
      <c r="BJ2" s="1" t="s">
        <v>1630</v>
      </c>
      <c r="BK2" s="1" t="s">
        <v>1631</v>
      </c>
      <c r="BL2" s="1" t="s">
        <v>1632</v>
      </c>
      <c r="BM2" s="1" t="s">
        <v>1633</v>
      </c>
      <c r="BN2" s="1" t="s">
        <v>1634</v>
      </c>
      <c r="BO2" s="1" t="s">
        <v>1635</v>
      </c>
      <c r="BP2" s="1" t="s">
        <v>1636</v>
      </c>
      <c r="BQ2" s="1" t="s">
        <v>1637</v>
      </c>
      <c r="BR2" s="1" t="s">
        <v>1638</v>
      </c>
      <c r="BS2" s="1" t="s">
        <v>1639</v>
      </c>
      <c r="BT2" s="1" t="s">
        <v>1556</v>
      </c>
      <c r="BU2" s="1" t="s">
        <v>1557</v>
      </c>
      <c r="BV2" s="1" t="s">
        <v>1558</v>
      </c>
      <c r="BW2" s="1" t="s">
        <v>1559</v>
      </c>
      <c r="BX2" s="1" t="s">
        <v>1560</v>
      </c>
      <c r="BY2" s="1" t="s">
        <v>1561</v>
      </c>
      <c r="BZ2" s="1" t="s">
        <v>1562</v>
      </c>
      <c r="CA2" s="1" t="s">
        <v>1563</v>
      </c>
      <c r="CB2" s="1" t="s">
        <v>1564</v>
      </c>
      <c r="CC2" s="1" t="s">
        <v>1565</v>
      </c>
      <c r="CD2" s="1" t="s">
        <v>1566</v>
      </c>
      <c r="CE2" s="1" t="s">
        <v>1567</v>
      </c>
      <c r="CF2" s="1" t="s">
        <v>1604</v>
      </c>
      <c r="CG2" s="1" t="s">
        <v>1605</v>
      </c>
      <c r="CH2" s="1" t="s">
        <v>1606</v>
      </c>
      <c r="CI2" s="1" t="s">
        <v>1607</v>
      </c>
      <c r="CJ2" s="1" t="s">
        <v>1608</v>
      </c>
      <c r="CK2" s="1" t="s">
        <v>1609</v>
      </c>
      <c r="CL2" s="1" t="s">
        <v>1610</v>
      </c>
      <c r="CM2" s="1" t="s">
        <v>1611</v>
      </c>
      <c r="CN2" s="1" t="s">
        <v>1612</v>
      </c>
      <c r="CO2" s="1" t="s">
        <v>1613</v>
      </c>
      <c r="CP2" s="1" t="s">
        <v>1614</v>
      </c>
      <c r="CQ2" s="1" t="s">
        <v>1615</v>
      </c>
      <c r="CR2" s="1" t="s">
        <v>1580</v>
      </c>
      <c r="CS2" s="1" t="s">
        <v>1581</v>
      </c>
      <c r="CT2" s="1" t="s">
        <v>1582</v>
      </c>
      <c r="CU2" s="1" t="s">
        <v>1583</v>
      </c>
      <c r="CV2" s="1" t="s">
        <v>1584</v>
      </c>
      <c r="CW2" s="1" t="s">
        <v>1585</v>
      </c>
      <c r="CX2" s="1" t="s">
        <v>1586</v>
      </c>
      <c r="CY2" s="1" t="s">
        <v>1587</v>
      </c>
      <c r="CZ2" s="1" t="s">
        <v>1588</v>
      </c>
      <c r="DA2" s="1" t="s">
        <v>1589</v>
      </c>
      <c r="DB2" s="1" t="s">
        <v>1590</v>
      </c>
      <c r="DC2" s="1" t="s">
        <v>1591</v>
      </c>
      <c r="DD2" s="1" t="s">
        <v>1616</v>
      </c>
      <c r="DE2" s="1" t="s">
        <v>1617</v>
      </c>
      <c r="DF2" s="1" t="s">
        <v>1618</v>
      </c>
      <c r="DG2" s="1" t="s">
        <v>1619</v>
      </c>
      <c r="DH2" s="1" t="s">
        <v>1620</v>
      </c>
      <c r="DI2" s="1" t="s">
        <v>1621</v>
      </c>
      <c r="DJ2" s="1" t="s">
        <v>1622</v>
      </c>
      <c r="DK2" s="1" t="s">
        <v>1623</v>
      </c>
      <c r="DL2" s="1" t="s">
        <v>1624</v>
      </c>
      <c r="DM2" s="1" t="s">
        <v>1625</v>
      </c>
      <c r="DN2" s="1" t="s">
        <v>1626</v>
      </c>
      <c r="DO2" s="1" t="s">
        <v>1627</v>
      </c>
      <c r="DP2" s="1" t="s">
        <v>1640</v>
      </c>
      <c r="DQ2" s="1" t="s">
        <v>1641</v>
      </c>
      <c r="DR2" s="1" t="s">
        <v>1642</v>
      </c>
      <c r="DS2" s="1" t="s">
        <v>1643</v>
      </c>
      <c r="DT2" s="1" t="s">
        <v>1644</v>
      </c>
      <c r="DU2" s="1" t="s">
        <v>1645</v>
      </c>
      <c r="DV2" s="1" t="s">
        <v>1646</v>
      </c>
      <c r="DW2" s="1" t="s">
        <v>1647</v>
      </c>
      <c r="DX2" s="1" t="s">
        <v>1648</v>
      </c>
      <c r="DY2" s="1" t="s">
        <v>1649</v>
      </c>
      <c r="DZ2" s="1" t="s">
        <v>1650</v>
      </c>
      <c r="EA2" s="1" t="s">
        <v>1651</v>
      </c>
    </row>
    <row r="3" spans="1:131" x14ac:dyDescent="0.3">
      <c r="A3">
        <v>4035517</v>
      </c>
      <c r="B3" s="1" t="s">
        <v>34</v>
      </c>
      <c r="C3" s="1" t="s">
        <v>24</v>
      </c>
      <c r="D3" s="1">
        <v>2011</v>
      </c>
      <c r="E3" s="1">
        <v>10</v>
      </c>
      <c r="F3" s="10">
        <f>Table3[[#This Row],[First season 
with SF]]+Table3[[#This Row],['# Services 
provided]]</f>
        <v>18</v>
      </c>
      <c r="G3" s="26">
        <f>(Table3[[#This Row],[Total Income 
(Race + Price 
sold + Offs - maintenance cost)]]-Table3[[#This Row],[Price 
Bought]])/Table3[[#This Row],[Price 
Bought]]</f>
        <v>0.71945209999999959</v>
      </c>
      <c r="H3" s="31">
        <f>Table3[[#This Row],[Race 
earnings]]+Table3[[#This Row],[Price 
Sold]]-Table3[[#This Row],[Maintenance cost]]+Table3[[#This Row],[Total 
profit (Income - cost)]]</f>
        <v>429863.02499999991</v>
      </c>
      <c r="I3" s="3">
        <f>_xlfn.IFNA(VLOOKUP(Table3[[#This Row],[damId]],Sheet1!$A$2:$M$970,5, FALSE), VLOOKUP(Table3[[#This Row],[dam]],Sheet1!$B$2:$M$970,4, FALSE))</f>
        <v>0</v>
      </c>
      <c r="J3" s="3">
        <f>_xlfn.IFNA(VLOOKUP(Table3[[#This Row],[damId]],Sheet1!$A$2:$M$970,13, FALSE), VLOOKUP(Table3[[#This Row],[dam]],Sheet1!$B$2:$M$970,13, FALSE))</f>
        <v>-250000</v>
      </c>
      <c r="K3" s="3">
        <f>_xlfn.IFNA(VLOOKUP(Table3[[#This Row],[damId]],Sheet1!$A$2:$M$970,11, FALSE), VLOOKUP(Table3[[#This Row],[dam]],Sheet1!$B$2:$M$970,11, FALSE))</f>
        <v>250000</v>
      </c>
      <c r="L3" s="3">
        <f>_xlfn.IFNA(VLOOKUP(Table3[[#This Row],[damId]],Sheet1!$A$2:$M$970,12, FALSE), VLOOKUP(Table3[[#This Row],[dam]],Sheet1!$B$2:$M$970,12, FALSE))</f>
        <v>0</v>
      </c>
      <c r="M3" s="3">
        <f>_xlfn.IFNA(VLOOKUP(Table3[[#This Row],[damId]],Sheet1!$A$2:$T$970,20, FALSE), VLOOKUP(Table3[[#This Row],[dam]],Sheet1!$B$2:$T$970,20, FALSE))*Sheet1!$AD$3</f>
        <v>214315.05000000002</v>
      </c>
      <c r="N3" s="3">
        <f>Table3[[#This Row],[Total 
income (Earnings + value - stud fee)]]-Table3[[#This Row],[Maintenance cost ]]</f>
        <v>644178.07499999995</v>
      </c>
      <c r="O3" s="3">
        <f>SUM(Table3[[#This Row],[income1]:[income12]])</f>
        <v>732000</v>
      </c>
      <c r="P3" s="3">
        <f>_xlfn.IFNA(VLOOKUP(Table3[[#This Row],[damId]],Sheet1!$A$2:$Y$970,23, FALSE), VLOOKUP(Table3[[#This Row],[dam]],Sheet1!$B$2:$Y$970,23, FALSE))*Sheet1!$AD$3</f>
        <v>87821.925000000003</v>
      </c>
      <c r="Q3" s="3">
        <f>SUM(Table3[[#This Row],[earningsInRaces1]:[earningsInRaces12]])</f>
        <v>0</v>
      </c>
      <c r="R3" s="3">
        <f>SUM(Table3[[#This Row],[auctionPrice1]:[auctionPrice12]])</f>
        <v>857000</v>
      </c>
      <c r="S3" s="3">
        <f>SUM(Table3[[#This Row],[studFeeUSD1]:[studFeeUSD12]])</f>
        <v>-125000</v>
      </c>
      <c r="T3" s="7">
        <f>COUNT(Table3[[#This Row],[successfulService1]:[successfulService12]])</f>
        <v>8</v>
      </c>
      <c r="U3" s="7">
        <f>SUM(Table3[[#This Row],[successfulService1]:[successfulService12]])</f>
        <v>4</v>
      </c>
      <c r="V3" s="7">
        <f>SUM(Table3[[#This Row],[soldInAuction1]:[soldInAuction12]])</f>
        <v>4</v>
      </c>
      <c r="W3" s="7">
        <f>SUM(Table3[[#This Row],[foreignHorse1]:[foreignHorse12]])</f>
        <v>0</v>
      </c>
      <c r="X3" s="3">
        <v>510000</v>
      </c>
      <c r="Y3" s="3">
        <v>-20000</v>
      </c>
      <c r="Z3" s="3">
        <v>-20000</v>
      </c>
      <c r="AA3" s="3">
        <v>60000</v>
      </c>
      <c r="AB3" s="3">
        <v>2000</v>
      </c>
      <c r="AC3" s="3">
        <v>-20000</v>
      </c>
      <c r="AD3" s="3">
        <v>235000</v>
      </c>
      <c r="AE3" s="3">
        <v>-15000</v>
      </c>
      <c r="AF3" s="3"/>
      <c r="AG3" s="3"/>
      <c r="AH3" s="3"/>
      <c r="AI3" s="3"/>
      <c r="AJ3" s="3">
        <v>0</v>
      </c>
      <c r="AK3" s="3"/>
      <c r="AL3" s="3"/>
      <c r="AM3" s="3">
        <v>0</v>
      </c>
      <c r="AN3" s="3">
        <v>0</v>
      </c>
      <c r="AO3" s="3"/>
      <c r="AP3" s="3">
        <v>0</v>
      </c>
      <c r="AQ3" s="3"/>
      <c r="AR3" s="3"/>
      <c r="AS3" s="3"/>
      <c r="AT3" s="3"/>
      <c r="AU3" s="3"/>
      <c r="AV3" s="3">
        <v>510000</v>
      </c>
      <c r="AW3" s="3"/>
      <c r="AX3" s="3"/>
      <c r="AY3" s="3">
        <v>75000</v>
      </c>
      <c r="AZ3" s="3">
        <v>22000</v>
      </c>
      <c r="BA3" s="3"/>
      <c r="BB3" s="3">
        <v>250000</v>
      </c>
      <c r="BC3" s="3"/>
      <c r="BD3" s="3"/>
      <c r="BE3" s="3"/>
      <c r="BF3" s="3"/>
      <c r="BG3" s="3"/>
      <c r="BH3" s="3">
        <v>0</v>
      </c>
      <c r="BI3" s="3">
        <v>-20000</v>
      </c>
      <c r="BJ3" s="3">
        <v>-20000</v>
      </c>
      <c r="BK3" s="3">
        <v>-15000</v>
      </c>
      <c r="BL3" s="3">
        <v>-20000</v>
      </c>
      <c r="BM3" s="3">
        <v>-20000</v>
      </c>
      <c r="BN3" s="3">
        <v>-15000</v>
      </c>
      <c r="BO3" s="3">
        <v>-15000</v>
      </c>
      <c r="BP3" s="3"/>
      <c r="BQ3" s="3"/>
      <c r="BR3" s="3"/>
      <c r="BS3" s="3"/>
      <c r="BT3" s="1">
        <v>0</v>
      </c>
      <c r="BU3" s="1"/>
      <c r="BV3" s="1"/>
      <c r="BW3" s="1">
        <v>0</v>
      </c>
      <c r="BX3" s="1">
        <v>0</v>
      </c>
      <c r="BY3" s="1"/>
      <c r="BZ3" s="1">
        <v>0</v>
      </c>
      <c r="CA3" s="1"/>
      <c r="CB3" s="1"/>
      <c r="CC3" s="1"/>
      <c r="CD3" s="1"/>
      <c r="CE3" s="1"/>
      <c r="CF3" s="1">
        <v>1</v>
      </c>
      <c r="CG3" s="1">
        <v>0</v>
      </c>
      <c r="CH3" s="1">
        <v>0</v>
      </c>
      <c r="CI3" s="1">
        <v>1</v>
      </c>
      <c r="CJ3" s="1">
        <v>1</v>
      </c>
      <c r="CK3" s="1">
        <v>0</v>
      </c>
      <c r="CL3" s="1">
        <v>1</v>
      </c>
      <c r="CM3" s="1">
        <v>0</v>
      </c>
      <c r="CN3" s="1"/>
      <c r="CO3" s="1"/>
      <c r="CP3" s="1"/>
      <c r="CQ3" s="1"/>
      <c r="CR3" s="1">
        <v>1</v>
      </c>
      <c r="CS3" s="1">
        <v>0</v>
      </c>
      <c r="CT3" s="1">
        <v>0</v>
      </c>
      <c r="CU3" s="1">
        <v>1</v>
      </c>
      <c r="CV3" s="1">
        <v>1</v>
      </c>
      <c r="CW3" s="1">
        <v>0</v>
      </c>
      <c r="CX3" s="1">
        <v>1</v>
      </c>
      <c r="CY3" s="1">
        <v>0</v>
      </c>
      <c r="CZ3" s="1"/>
      <c r="DA3" s="1"/>
      <c r="DB3" s="1"/>
      <c r="DC3" s="1"/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/>
      <c r="DM3" s="1"/>
      <c r="DN3" s="1"/>
      <c r="DO3" s="1"/>
      <c r="DP3" s="1">
        <v>10</v>
      </c>
      <c r="DQ3" s="1">
        <v>11</v>
      </c>
      <c r="DR3" s="1">
        <v>12</v>
      </c>
      <c r="DS3" s="1">
        <v>13</v>
      </c>
      <c r="DT3" s="1">
        <v>14</v>
      </c>
      <c r="DU3" s="1">
        <v>15</v>
      </c>
      <c r="DV3" s="1">
        <v>16</v>
      </c>
      <c r="DW3" s="1">
        <v>17</v>
      </c>
      <c r="DX3" s="1"/>
      <c r="DY3" s="1"/>
      <c r="DZ3" s="1"/>
      <c r="EA3" s="1"/>
    </row>
    <row r="4" spans="1:131" x14ac:dyDescent="0.3">
      <c r="A4">
        <v>4057138</v>
      </c>
      <c r="B4" s="1" t="s">
        <v>38</v>
      </c>
      <c r="C4" s="1" t="s">
        <v>24</v>
      </c>
      <c r="D4" s="1">
        <v>2011</v>
      </c>
      <c r="E4" s="1">
        <v>10</v>
      </c>
      <c r="F4" s="10">
        <f>Table3[[#This Row],[First season 
with SF]]+Table3[[#This Row],['# Services 
provided]]</f>
        <v>13</v>
      </c>
      <c r="G4" s="26">
        <f>(Table3[[#This Row],[Total Income 
(Race + Price 
sold + Offs - maintenance cost)]]-Table3[[#This Row],[Price 
Bought]])/Table3[[#This Row],[Price 
Bought]]</f>
        <v>-1.2785272750000001</v>
      </c>
      <c r="H4" s="31">
        <f>Table3[[#This Row],[Race 
earnings]]+Table3[[#This Row],[Price 
Sold]]-Table3[[#This Row],[Maintenance cost]]+Table3[[#This Row],[Total 
profit (Income - cost)]]</f>
        <v>-55705.455000000016</v>
      </c>
      <c r="I4" s="3">
        <f>_xlfn.IFNA(VLOOKUP(Table3[[#This Row],[damId]],Sheet1!$A$2:$M$970,5, FALSE), VLOOKUP(Table3[[#This Row],[dam]],Sheet1!$B$2:$M$970,4, FALSE))</f>
        <v>0</v>
      </c>
      <c r="J4" s="3">
        <f>_xlfn.IFNA(VLOOKUP(Table3[[#This Row],[damId]],Sheet1!$A$2:$M$970,13, FALSE), VLOOKUP(Table3[[#This Row],[dam]],Sheet1!$B$2:$M$970,13, FALSE))</f>
        <v>-200000</v>
      </c>
      <c r="K4" s="3">
        <f>_xlfn.IFNA(VLOOKUP(Table3[[#This Row],[damId]],Sheet1!$A$2:$M$970,11, FALSE), VLOOKUP(Table3[[#This Row],[dam]],Sheet1!$B$2:$M$970,11, FALSE))</f>
        <v>200000</v>
      </c>
      <c r="L4" s="3">
        <f>_xlfn.IFNA(VLOOKUP(Table3[[#This Row],[damId]],Sheet1!$A$2:$M$970,12, FALSE), VLOOKUP(Table3[[#This Row],[dam]],Sheet1!$B$2:$M$970,12, FALSE))</f>
        <v>0</v>
      </c>
      <c r="M4" s="3">
        <f>_xlfn.IFNA(VLOOKUP(Table3[[#This Row],[damId]],Sheet1!$A$2:$T$970,20, FALSE), VLOOKUP(Table3[[#This Row],[dam]],Sheet1!$B$2:$T$970,20, FALSE))*Sheet1!$AD$3</f>
        <v>214315.05000000002</v>
      </c>
      <c r="N4" s="3">
        <f>Table3[[#This Row],[Total 
income (Earnings + value - stud fee)]]-Table3[[#This Row],[Maintenance cost ]]</f>
        <v>158609.595</v>
      </c>
      <c r="O4" s="3">
        <f>SUM(Table3[[#This Row],[income1]:[income12]])</f>
        <v>199500</v>
      </c>
      <c r="P4" s="3">
        <f>_xlfn.IFNA(VLOOKUP(Table3[[#This Row],[damId]],Sheet1!$A$2:$Y$970,23, FALSE), VLOOKUP(Table3[[#This Row],[dam]],Sheet1!$B$2:$Y$970,23, FALSE))*Sheet1!$AD$3</f>
        <v>40890.405000000006</v>
      </c>
      <c r="Q4" s="3">
        <f>SUM(Table3[[#This Row],[earningsInRaces1]:[earningsInRaces12]])</f>
        <v>0</v>
      </c>
      <c r="R4" s="3">
        <f>SUM(Table3[[#This Row],[auctionPrice1]:[auctionPrice12]])</f>
        <v>237000</v>
      </c>
      <c r="S4" s="3">
        <f>SUM(Table3[[#This Row],[studFeeUSD1]:[studFeeUSD12]])</f>
        <v>-37500</v>
      </c>
      <c r="T4" s="7">
        <f>COUNT(Table3[[#This Row],[successfulService1]:[successfulService12]])</f>
        <v>3</v>
      </c>
      <c r="U4" s="7">
        <f>SUM(Table3[[#This Row],[successfulService1]:[successfulService12]])</f>
        <v>2</v>
      </c>
      <c r="V4" s="7">
        <f>SUM(Table3[[#This Row],[soldInAuction1]:[soldInAuction12]])</f>
        <v>2</v>
      </c>
      <c r="W4" s="7">
        <f>SUM(Table3[[#This Row],[foreignHorse1]:[foreignHorse12]])</f>
        <v>0</v>
      </c>
      <c r="X4" s="3">
        <v>160000</v>
      </c>
      <c r="Y4" s="3">
        <v>57000</v>
      </c>
      <c r="Z4" s="3">
        <v>-17500</v>
      </c>
      <c r="AA4" s="3"/>
      <c r="AB4" s="3"/>
      <c r="AC4" s="3"/>
      <c r="AD4" s="3"/>
      <c r="AE4" s="3"/>
      <c r="AF4" s="3"/>
      <c r="AG4" s="3"/>
      <c r="AH4" s="3"/>
      <c r="AI4" s="3"/>
      <c r="AJ4" s="3">
        <v>0</v>
      </c>
      <c r="AK4" s="3">
        <v>0</v>
      </c>
      <c r="AL4" s="3"/>
      <c r="AM4" s="3"/>
      <c r="AN4" s="3"/>
      <c r="AO4" s="3"/>
      <c r="AP4" s="3"/>
      <c r="AQ4" s="3"/>
      <c r="AR4" s="3"/>
      <c r="AS4" s="3"/>
      <c r="AT4" s="3"/>
      <c r="AU4" s="3"/>
      <c r="AV4" s="3">
        <v>160000</v>
      </c>
      <c r="AW4" s="3">
        <v>77000</v>
      </c>
      <c r="AX4" s="3"/>
      <c r="AY4" s="3"/>
      <c r="AZ4" s="3"/>
      <c r="BA4" s="3"/>
      <c r="BB4" s="3"/>
      <c r="BC4" s="3"/>
      <c r="BD4" s="3"/>
      <c r="BE4" s="3"/>
      <c r="BF4" s="3"/>
      <c r="BG4" s="3"/>
      <c r="BH4" s="3">
        <v>0</v>
      </c>
      <c r="BI4" s="3">
        <v>-20000</v>
      </c>
      <c r="BJ4" s="3">
        <v>-17500</v>
      </c>
      <c r="BK4" s="3"/>
      <c r="BL4" s="3"/>
      <c r="BM4" s="3"/>
      <c r="BN4" s="3"/>
      <c r="BO4" s="3"/>
      <c r="BP4" s="3"/>
      <c r="BQ4" s="3"/>
      <c r="BR4" s="3"/>
      <c r="BS4" s="3"/>
      <c r="BT4" s="1">
        <v>0</v>
      </c>
      <c r="BU4" s="1">
        <v>0</v>
      </c>
      <c r="BV4" s="1"/>
      <c r="BW4" s="1"/>
      <c r="BX4" s="1"/>
      <c r="BY4" s="1"/>
      <c r="BZ4" s="1"/>
      <c r="CA4" s="1"/>
      <c r="CB4" s="1"/>
      <c r="CC4" s="1"/>
      <c r="CD4" s="1"/>
      <c r="CE4" s="1"/>
      <c r="CF4" s="1">
        <v>1</v>
      </c>
      <c r="CG4" s="1">
        <v>1</v>
      </c>
      <c r="CH4" s="1">
        <v>0</v>
      </c>
      <c r="CI4" s="1"/>
      <c r="CJ4" s="1"/>
      <c r="CK4" s="1"/>
      <c r="CL4" s="1"/>
      <c r="CM4" s="1"/>
      <c r="CN4" s="1"/>
      <c r="CO4" s="1"/>
      <c r="CP4" s="1"/>
      <c r="CQ4" s="1"/>
      <c r="CR4" s="1">
        <v>1</v>
      </c>
      <c r="CS4" s="1">
        <v>1</v>
      </c>
      <c r="CT4" s="1">
        <v>0</v>
      </c>
      <c r="CU4" s="1"/>
      <c r="CV4" s="1"/>
      <c r="CW4" s="1"/>
      <c r="CX4" s="1"/>
      <c r="CY4" s="1"/>
      <c r="CZ4" s="1"/>
      <c r="DA4" s="1"/>
      <c r="DB4" s="1"/>
      <c r="DC4" s="1"/>
      <c r="DD4" s="1">
        <v>0</v>
      </c>
      <c r="DE4" s="1">
        <v>0</v>
      </c>
      <c r="DF4" s="1">
        <v>0</v>
      </c>
      <c r="DG4" s="1"/>
      <c r="DH4" s="1"/>
      <c r="DI4" s="1"/>
      <c r="DJ4" s="1"/>
      <c r="DK4" s="1"/>
      <c r="DL4" s="1"/>
      <c r="DM4" s="1"/>
      <c r="DN4" s="1"/>
      <c r="DO4" s="1"/>
      <c r="DP4" s="1">
        <v>10</v>
      </c>
      <c r="DQ4" s="1">
        <v>11</v>
      </c>
      <c r="DR4" s="1">
        <v>13</v>
      </c>
      <c r="DS4" s="1"/>
      <c r="DT4" s="1"/>
      <c r="DU4" s="1"/>
      <c r="DV4" s="1"/>
      <c r="DW4" s="1"/>
      <c r="DX4" s="1"/>
      <c r="DY4" s="1"/>
      <c r="DZ4" s="1"/>
      <c r="EA4" s="1"/>
    </row>
    <row r="5" spans="1:131" x14ac:dyDescent="0.3">
      <c r="A5">
        <v>4530465</v>
      </c>
      <c r="B5" s="1" t="s">
        <v>53</v>
      </c>
      <c r="C5" s="1" t="s">
        <v>24</v>
      </c>
      <c r="D5" s="1">
        <v>2011</v>
      </c>
      <c r="E5" s="1">
        <v>10</v>
      </c>
      <c r="F5" s="10">
        <f>Table3[[#This Row],[First season 
with SF]]+Table3[[#This Row],['# Services 
provided]]</f>
        <v>20</v>
      </c>
      <c r="G5" s="26">
        <f>(Table3[[#This Row],[Total Income 
(Race + Price 
sold + Offs - maintenance cost)]]-Table3[[#This Row],[Price 
Bought]])/Table3[[#This Row],[Price 
Bought]]</f>
        <v>-2.8788096875000004</v>
      </c>
      <c r="H5" s="31">
        <f>Table3[[#This Row],[Race 
earnings]]+Table3[[#This Row],[Price 
Sold]]-Table3[[#This Row],[Maintenance cost]]+Table3[[#This Row],[Total 
profit (Income - cost)]]</f>
        <v>-150304.77500000002</v>
      </c>
      <c r="I5" s="3">
        <f>_xlfn.IFNA(VLOOKUP(Table3[[#This Row],[damId]],Sheet1!$A$2:$M$970,5, FALSE), VLOOKUP(Table3[[#This Row],[dam]],Sheet1!$B$2:$M$970,4, FALSE))</f>
        <v>0</v>
      </c>
      <c r="J5" s="3">
        <f>_xlfn.IFNA(VLOOKUP(Table3[[#This Row],[damId]],Sheet1!$A$2:$M$970,13, FALSE), VLOOKUP(Table3[[#This Row],[dam]],Sheet1!$B$2:$M$970,13, FALSE))</f>
        <v>-80000</v>
      </c>
      <c r="K5" s="3">
        <f>_xlfn.IFNA(VLOOKUP(Table3[[#This Row],[damId]],Sheet1!$A$2:$M$970,11, FALSE), VLOOKUP(Table3[[#This Row],[dam]],Sheet1!$B$2:$M$970,11, FALSE))</f>
        <v>80000</v>
      </c>
      <c r="L5" s="3">
        <f>_xlfn.IFNA(VLOOKUP(Table3[[#This Row],[damId]],Sheet1!$A$2:$M$970,12, FALSE), VLOOKUP(Table3[[#This Row],[dam]],Sheet1!$B$2:$M$970,12, FALSE))</f>
        <v>0</v>
      </c>
      <c r="M5" s="3">
        <f>_xlfn.IFNA(VLOOKUP(Table3[[#This Row],[damId]],Sheet1!$A$2:$T$970,20, FALSE), VLOOKUP(Table3[[#This Row],[dam]],Sheet1!$B$2:$T$970,20, FALSE))*Sheet1!$AD$3</f>
        <v>214315.05000000002</v>
      </c>
      <c r="N5" s="3">
        <f>Table3[[#This Row],[Total 
income (Earnings + value - stud fee)]]-Table3[[#This Row],[Maintenance cost ]]</f>
        <v>64010.274999999994</v>
      </c>
      <c r="O5" s="3">
        <f>SUM(Table3[[#This Row],[income1]:[income12]])</f>
        <v>211750</v>
      </c>
      <c r="P5" s="3">
        <f>_xlfn.IFNA(VLOOKUP(Table3[[#This Row],[damId]],Sheet1!$A$2:$Y$970,23, FALSE), VLOOKUP(Table3[[#This Row],[dam]],Sheet1!$B$2:$Y$970,23, FALSE))*Sheet1!$AD$3</f>
        <v>147739.72500000001</v>
      </c>
      <c r="Q5" s="3">
        <f>SUM(Table3[[#This Row],[earningsInRaces1]:[earningsInRaces12]])</f>
        <v>2250</v>
      </c>
      <c r="R5" s="3">
        <f>SUM(Table3[[#This Row],[auctionPrice1]:[auctionPrice12]])</f>
        <v>437000</v>
      </c>
      <c r="S5" s="3">
        <f>SUM(Table3[[#This Row],[studFeeUSD1]:[studFeeUSD12]])</f>
        <v>-227500</v>
      </c>
      <c r="T5" s="7">
        <f>COUNT(Table3[[#This Row],[successfulService1]:[successfulService12]])</f>
        <v>10</v>
      </c>
      <c r="U5" s="7">
        <f>SUM(Table3[[#This Row],[successfulService1]:[successfulService12]])</f>
        <v>7</v>
      </c>
      <c r="V5" s="7">
        <f>SUM(Table3[[#This Row],[soldInAuction1]:[soldInAuction12]])</f>
        <v>7</v>
      </c>
      <c r="W5" s="7">
        <f>SUM(Table3[[#This Row],[foreignHorse1]:[foreignHorse12]])</f>
        <v>0</v>
      </c>
      <c r="X5" s="3">
        <v>85000</v>
      </c>
      <c r="Y5" s="3">
        <v>77000</v>
      </c>
      <c r="Z5" s="3">
        <v>140000</v>
      </c>
      <c r="AA5" s="3">
        <v>-20000</v>
      </c>
      <c r="AB5" s="3">
        <v>24250</v>
      </c>
      <c r="AC5" s="3">
        <v>17500</v>
      </c>
      <c r="AD5" s="3">
        <v>-20000</v>
      </c>
      <c r="AE5" s="3">
        <v>-50000</v>
      </c>
      <c r="AF5" s="3">
        <v>-17000</v>
      </c>
      <c r="AG5" s="3">
        <v>-25000</v>
      </c>
      <c r="AH5" s="3"/>
      <c r="AI5" s="3"/>
      <c r="AJ5" s="3">
        <v>0</v>
      </c>
      <c r="AK5" s="3">
        <v>0</v>
      </c>
      <c r="AL5" s="3">
        <v>0</v>
      </c>
      <c r="AM5" s="3"/>
      <c r="AN5" s="3">
        <v>2250</v>
      </c>
      <c r="AO5" s="3">
        <v>0</v>
      </c>
      <c r="AP5" s="3">
        <v>0</v>
      </c>
      <c r="AQ5" s="3"/>
      <c r="AR5" s="3">
        <v>0</v>
      </c>
      <c r="AS5" s="3"/>
      <c r="AT5" s="3"/>
      <c r="AU5" s="3"/>
      <c r="AV5" s="3">
        <v>85000</v>
      </c>
      <c r="AW5" s="3">
        <v>97000</v>
      </c>
      <c r="AX5" s="3">
        <v>160000</v>
      </c>
      <c r="AY5" s="3"/>
      <c r="AZ5" s="3">
        <v>37000</v>
      </c>
      <c r="BA5" s="3">
        <v>30000</v>
      </c>
      <c r="BB5" s="3">
        <v>20000</v>
      </c>
      <c r="BC5" s="3"/>
      <c r="BD5" s="3">
        <v>8000</v>
      </c>
      <c r="BE5" s="3"/>
      <c r="BF5" s="3"/>
      <c r="BG5" s="3"/>
      <c r="BH5" s="3">
        <v>0</v>
      </c>
      <c r="BI5" s="3">
        <v>-20000</v>
      </c>
      <c r="BJ5" s="3">
        <v>-20000</v>
      </c>
      <c r="BK5" s="3">
        <v>-20000</v>
      </c>
      <c r="BL5" s="3">
        <v>-15000</v>
      </c>
      <c r="BM5" s="3">
        <v>-12500</v>
      </c>
      <c r="BN5" s="3">
        <v>-40000</v>
      </c>
      <c r="BO5" s="3">
        <v>-50000</v>
      </c>
      <c r="BP5" s="3">
        <v>-25000</v>
      </c>
      <c r="BQ5" s="3">
        <v>-25000</v>
      </c>
      <c r="BR5" s="3"/>
      <c r="BS5" s="3"/>
      <c r="BT5" s="1">
        <v>0</v>
      </c>
      <c r="BU5" s="1">
        <v>0</v>
      </c>
      <c r="BV5" s="1">
        <v>0</v>
      </c>
      <c r="BW5" s="1"/>
      <c r="BX5" s="1">
        <v>1</v>
      </c>
      <c r="BY5" s="1">
        <v>0</v>
      </c>
      <c r="BZ5" s="1">
        <v>0</v>
      </c>
      <c r="CA5" s="1"/>
      <c r="CB5" s="1">
        <v>0</v>
      </c>
      <c r="CC5" s="1"/>
      <c r="CD5" s="1"/>
      <c r="CE5" s="1"/>
      <c r="CF5" s="1">
        <v>1</v>
      </c>
      <c r="CG5" s="1">
        <v>1</v>
      </c>
      <c r="CH5" s="1">
        <v>1</v>
      </c>
      <c r="CI5" s="1">
        <v>0</v>
      </c>
      <c r="CJ5" s="1">
        <v>1</v>
      </c>
      <c r="CK5" s="1">
        <v>1</v>
      </c>
      <c r="CL5" s="1">
        <v>1</v>
      </c>
      <c r="CM5" s="1">
        <v>0</v>
      </c>
      <c r="CN5" s="1">
        <v>1</v>
      </c>
      <c r="CO5" s="1">
        <v>0</v>
      </c>
      <c r="CP5" s="1"/>
      <c r="CQ5" s="1"/>
      <c r="CR5" s="1">
        <v>1</v>
      </c>
      <c r="CS5" s="1">
        <v>1</v>
      </c>
      <c r="CT5" s="1">
        <v>1</v>
      </c>
      <c r="CU5" s="1">
        <v>0</v>
      </c>
      <c r="CV5" s="1">
        <v>1</v>
      </c>
      <c r="CW5" s="1">
        <v>1</v>
      </c>
      <c r="CX5" s="1">
        <v>1</v>
      </c>
      <c r="CY5" s="1">
        <v>0</v>
      </c>
      <c r="CZ5" s="1">
        <v>1</v>
      </c>
      <c r="DA5" s="1">
        <v>0</v>
      </c>
      <c r="DB5" s="1"/>
      <c r="DC5" s="1"/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/>
      <c r="DO5" s="1"/>
      <c r="DP5" s="1">
        <v>10</v>
      </c>
      <c r="DQ5" s="1">
        <v>11</v>
      </c>
      <c r="DR5" s="1">
        <v>12</v>
      </c>
      <c r="DS5" s="1">
        <v>13</v>
      </c>
      <c r="DT5" s="1">
        <v>14</v>
      </c>
      <c r="DU5" s="1">
        <v>15</v>
      </c>
      <c r="DV5" s="1">
        <v>16</v>
      </c>
      <c r="DW5" s="1">
        <v>17</v>
      </c>
      <c r="DX5" s="1">
        <v>18</v>
      </c>
      <c r="DY5" s="1">
        <v>19</v>
      </c>
      <c r="DZ5" s="1"/>
      <c r="EA5" s="1"/>
    </row>
    <row r="6" spans="1:131" x14ac:dyDescent="0.3">
      <c r="A6">
        <v>4670644</v>
      </c>
      <c r="B6" s="1" t="s">
        <v>59</v>
      </c>
      <c r="C6" s="1" t="s">
        <v>24</v>
      </c>
      <c r="D6" s="1">
        <v>2011</v>
      </c>
      <c r="E6" s="1">
        <v>9</v>
      </c>
      <c r="F6" s="10">
        <f>Table3[[#This Row],[First season 
with SF]]+Table3[[#This Row],['# Services 
provided]]</f>
        <v>14</v>
      </c>
      <c r="G6" s="26">
        <f>(Table3[[#This Row],[Total Income 
(Race + Price 
sold + Offs - maintenance cost)]]-Table3[[#This Row],[Price 
Bought]])/Table3[[#This Row],[Price 
Bought]]</f>
        <v>-0.12622740246398056</v>
      </c>
      <c r="H6" s="31">
        <f>Table3[[#This Row],[Race 
earnings]]+Table3[[#This Row],[Price 
Sold]]-Table3[[#This Row],[Maintenance cost]]+Table3[[#This Row],[Total 
profit (Income - cost)]]</f>
        <v>421853.91500000004</v>
      </c>
      <c r="I6" s="3">
        <f>_xlfn.IFNA(VLOOKUP(Table3[[#This Row],[damId]],Sheet1!$A$2:$M$970,5, FALSE), VLOOKUP(Table3[[#This Row],[dam]],Sheet1!$B$2:$M$970,4, FALSE))</f>
        <v>0</v>
      </c>
      <c r="J6" s="3">
        <f>_xlfn.IFNA(VLOOKUP(Table3[[#This Row],[damId]],Sheet1!$A$2:$M$970,13, FALSE), VLOOKUP(Table3[[#This Row],[dam]],Sheet1!$B$2:$M$970,13, FALSE))</f>
        <v>-482796</v>
      </c>
      <c r="K6" s="3">
        <f>_xlfn.IFNA(VLOOKUP(Table3[[#This Row],[damId]],Sheet1!$A$2:$M$970,11, FALSE), VLOOKUP(Table3[[#This Row],[dam]],Sheet1!$B$2:$M$970,11, FALSE))</f>
        <v>482796</v>
      </c>
      <c r="L6" s="3">
        <f>_xlfn.IFNA(VLOOKUP(Table3[[#This Row],[damId]],Sheet1!$A$2:$M$970,12, FALSE), VLOOKUP(Table3[[#This Row],[dam]],Sheet1!$B$2:$M$970,12, FALSE))</f>
        <v>0</v>
      </c>
      <c r="M6" s="3">
        <f>_xlfn.IFNA(VLOOKUP(Table3[[#This Row],[damId]],Sheet1!$A$2:$T$970,20, FALSE), VLOOKUP(Table3[[#This Row],[dam]],Sheet1!$B$2:$T$970,20, FALSE))*Sheet1!$AD$3</f>
        <v>213246.6</v>
      </c>
      <c r="N6" s="3">
        <f>Table3[[#This Row],[Total 
income (Earnings + value - stud fee)]]-Table3[[#This Row],[Maintenance cost ]]</f>
        <v>635100.51500000001</v>
      </c>
      <c r="O6" s="3">
        <f>SUM(Table3[[#This Row],[income1]:[income12]])</f>
        <v>699374.48</v>
      </c>
      <c r="P6" s="3">
        <f>_xlfn.IFNA(VLOOKUP(Table3[[#This Row],[damId]],Sheet1!$A$2:$Y$970,23, FALSE), VLOOKUP(Table3[[#This Row],[dam]],Sheet1!$B$2:$Y$970,23, FALSE))*Sheet1!$AD$3</f>
        <v>64273.965000000004</v>
      </c>
      <c r="Q6" s="3">
        <f>SUM(Table3[[#This Row],[earningsInRaces1]:[earningsInRaces12]])</f>
        <v>0</v>
      </c>
      <c r="R6" s="3">
        <f>SUM(Table3[[#This Row],[auctionPrice1]:[auctionPrice12]])</f>
        <v>742580</v>
      </c>
      <c r="S6" s="3">
        <f>SUM(Table3[[#This Row],[studFeeUSD1]:[studFeeUSD12]])</f>
        <v>-43205.520000000004</v>
      </c>
      <c r="T6" s="7">
        <f>COUNT(Table3[[#This Row],[successfulService1]:[successfulService12]])</f>
        <v>5</v>
      </c>
      <c r="U6" s="7">
        <f>SUM(Table3[[#This Row],[successfulService1]:[successfulService12]])</f>
        <v>5</v>
      </c>
      <c r="V6" s="7">
        <f>SUM(Table3[[#This Row],[soldInAuction1]:[soldInAuction12]])</f>
        <v>5</v>
      </c>
      <c r="W6" s="7">
        <f>SUM(Table3[[#This Row],[foreignHorse1]:[foreignHorse12]])</f>
        <v>2</v>
      </c>
      <c r="X6" s="3">
        <v>200000</v>
      </c>
      <c r="Y6" s="3">
        <v>410580</v>
      </c>
      <c r="Z6" s="3">
        <v>71794.48</v>
      </c>
      <c r="AA6" s="3">
        <v>-13000</v>
      </c>
      <c r="AB6" s="3">
        <v>30000</v>
      </c>
      <c r="AC6" s="3"/>
      <c r="AD6" s="3"/>
      <c r="AE6" s="3"/>
      <c r="AF6" s="3"/>
      <c r="AG6" s="3"/>
      <c r="AH6" s="3"/>
      <c r="AI6" s="3"/>
      <c r="AJ6" s="3">
        <v>0</v>
      </c>
      <c r="AK6" s="3"/>
      <c r="AL6" s="3">
        <v>0</v>
      </c>
      <c r="AM6" s="3">
        <v>0</v>
      </c>
      <c r="AN6" s="3">
        <v>0</v>
      </c>
      <c r="AO6" s="3"/>
      <c r="AP6" s="3"/>
      <c r="AQ6" s="3"/>
      <c r="AR6" s="3"/>
      <c r="AS6" s="3"/>
      <c r="AT6" s="3"/>
      <c r="AU6" s="3"/>
      <c r="AV6" s="3">
        <v>200000</v>
      </c>
      <c r="AW6" s="3">
        <v>410580</v>
      </c>
      <c r="AX6" s="3">
        <v>85000</v>
      </c>
      <c r="AY6" s="3">
        <v>2000</v>
      </c>
      <c r="AZ6" s="3">
        <v>45000</v>
      </c>
      <c r="BA6" s="3"/>
      <c r="BB6" s="3"/>
      <c r="BC6" s="3"/>
      <c r="BD6" s="3"/>
      <c r="BE6" s="3"/>
      <c r="BF6" s="3"/>
      <c r="BG6" s="3"/>
      <c r="BH6" s="3">
        <v>0</v>
      </c>
      <c r="BI6" s="3"/>
      <c r="BJ6" s="3">
        <v>-13205.52</v>
      </c>
      <c r="BK6" s="3">
        <v>-15000</v>
      </c>
      <c r="BL6" s="3">
        <v>-15000</v>
      </c>
      <c r="BM6" s="3"/>
      <c r="BN6" s="3"/>
      <c r="BO6" s="3"/>
      <c r="BP6" s="3"/>
      <c r="BQ6" s="3"/>
      <c r="BR6" s="3"/>
      <c r="BS6" s="3"/>
      <c r="BT6" s="1">
        <v>0</v>
      </c>
      <c r="BU6" s="1"/>
      <c r="BV6" s="1">
        <v>0</v>
      </c>
      <c r="BW6" s="1">
        <v>0</v>
      </c>
      <c r="BX6" s="1">
        <v>0</v>
      </c>
      <c r="BY6" s="1"/>
      <c r="BZ6" s="1"/>
      <c r="CA6" s="1"/>
      <c r="CB6" s="1"/>
      <c r="CC6" s="1"/>
      <c r="CD6" s="1"/>
      <c r="CE6" s="1"/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/>
      <c r="CL6" s="1"/>
      <c r="CM6" s="1"/>
      <c r="CN6" s="1"/>
      <c r="CO6" s="1"/>
      <c r="CP6" s="1"/>
      <c r="CQ6" s="1"/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/>
      <c r="CX6" s="1"/>
      <c r="CY6" s="1"/>
      <c r="CZ6" s="1"/>
      <c r="DA6" s="1"/>
      <c r="DB6" s="1"/>
      <c r="DC6" s="1"/>
      <c r="DD6" s="1">
        <v>1</v>
      </c>
      <c r="DE6" s="1">
        <v>1</v>
      </c>
      <c r="DF6" s="1">
        <v>0</v>
      </c>
      <c r="DG6" s="1">
        <v>0</v>
      </c>
      <c r="DH6" s="1">
        <v>0</v>
      </c>
      <c r="DI6" s="1"/>
      <c r="DJ6" s="1"/>
      <c r="DK6" s="1"/>
      <c r="DL6" s="1"/>
      <c r="DM6" s="1"/>
      <c r="DN6" s="1"/>
      <c r="DO6" s="1"/>
      <c r="DP6" s="1">
        <v>9</v>
      </c>
      <c r="DQ6" s="1">
        <v>10</v>
      </c>
      <c r="DR6" s="1">
        <v>12</v>
      </c>
      <c r="DS6" s="1">
        <v>13</v>
      </c>
      <c r="DT6" s="1">
        <v>14</v>
      </c>
      <c r="DU6" s="1"/>
      <c r="DV6" s="1"/>
      <c r="DW6" s="1"/>
      <c r="DX6" s="1"/>
      <c r="DY6" s="1"/>
      <c r="DZ6" s="1"/>
      <c r="EA6" s="1"/>
    </row>
    <row r="7" spans="1:131" x14ac:dyDescent="0.3">
      <c r="A7">
        <v>4830628</v>
      </c>
      <c r="B7" s="1" t="s">
        <v>61</v>
      </c>
      <c r="C7" s="1" t="s">
        <v>24</v>
      </c>
      <c r="D7" s="1">
        <v>2011</v>
      </c>
      <c r="E7" s="1">
        <v>6</v>
      </c>
      <c r="F7" s="10">
        <f>Table3[[#This Row],[First season 
with SF]]+Table3[[#This Row],['# Services 
provided]]</f>
        <v>9</v>
      </c>
      <c r="G7" s="26">
        <f>(Table3[[#This Row],[Total Income 
(Race + Price 
sold + Offs - maintenance cost)]]-Table3[[#This Row],[Price 
Bought]])/Table3[[#This Row],[Price 
Bought]]</f>
        <v>5.5633952380952402E-2</v>
      </c>
      <c r="H7" s="31">
        <f>Table3[[#This Row],[Race 
earnings]]+Table3[[#This Row],[Price 
Sold]]-Table3[[#This Row],[Maintenance cost]]+Table3[[#This Row],[Total 
profit (Income - cost)]]</f>
        <v>221683.13</v>
      </c>
      <c r="I7" s="3">
        <f>_xlfn.IFNA(VLOOKUP(Table3[[#This Row],[damId]],Sheet1!$A$2:$M$970,5, FALSE), VLOOKUP(Table3[[#This Row],[dam]],Sheet1!$B$2:$M$970,4, FALSE))</f>
        <v>0</v>
      </c>
      <c r="J7" s="3">
        <f>_xlfn.IFNA(VLOOKUP(Table3[[#This Row],[damId]],Sheet1!$A$2:$M$970,13, FALSE), VLOOKUP(Table3[[#This Row],[dam]],Sheet1!$B$2:$M$970,13, FALSE))</f>
        <v>-168000</v>
      </c>
      <c r="K7" s="3">
        <f>_xlfn.IFNA(VLOOKUP(Table3[[#This Row],[damId]],Sheet1!$A$2:$M$970,11, FALSE), VLOOKUP(Table3[[#This Row],[dam]],Sheet1!$B$2:$M$970,11, FALSE))</f>
        <v>210000</v>
      </c>
      <c r="L7" s="3">
        <f>_xlfn.IFNA(VLOOKUP(Table3[[#This Row],[damId]],Sheet1!$A$2:$M$970,12, FALSE), VLOOKUP(Table3[[#This Row],[dam]],Sheet1!$B$2:$M$970,12, FALSE))</f>
        <v>42000</v>
      </c>
      <c r="M7" s="3">
        <f>_xlfn.IFNA(VLOOKUP(Table3[[#This Row],[damId]],Sheet1!$A$2:$T$970,20, FALSE), VLOOKUP(Table3[[#This Row],[dam]],Sheet1!$B$2:$T$970,20, FALSE))*Sheet1!$AD$3</f>
        <v>44876.715000000004</v>
      </c>
      <c r="N7" s="3">
        <f>Table3[[#This Row],[Total 
income (Earnings + value - stud fee)]]-Table3[[#This Row],[Maintenance cost ]]</f>
        <v>224559.845</v>
      </c>
      <c r="O7" s="3">
        <f>SUM(Table3[[#This Row],[income1]:[income12]])</f>
        <v>276053</v>
      </c>
      <c r="P7" s="3">
        <f>_xlfn.IFNA(VLOOKUP(Table3[[#This Row],[damId]],Sheet1!$A$2:$Y$970,23, FALSE), VLOOKUP(Table3[[#This Row],[dam]],Sheet1!$B$2:$Y$970,23, FALSE))*Sheet1!$AD$3</f>
        <v>51493.154999999999</v>
      </c>
      <c r="Q7" s="3">
        <f>SUM(Table3[[#This Row],[earningsInRaces1]:[earningsInRaces12]])</f>
        <v>0</v>
      </c>
      <c r="R7" s="3">
        <f>SUM(Table3[[#This Row],[auctionPrice1]:[auctionPrice12]])</f>
        <v>311053</v>
      </c>
      <c r="S7" s="3">
        <f>SUM(Table3[[#This Row],[studFeeUSD1]:[studFeeUSD12]])</f>
        <v>-35000</v>
      </c>
      <c r="T7" s="7">
        <f>COUNT(Table3[[#This Row],[successfulService1]:[successfulService12]])</f>
        <v>3</v>
      </c>
      <c r="U7" s="7">
        <f>SUM(Table3[[#This Row],[successfulService1]:[successfulService12]])</f>
        <v>2</v>
      </c>
      <c r="V7" s="7">
        <f>SUM(Table3[[#This Row],[soldInAuction1]:[soldInAuction12]])</f>
        <v>2</v>
      </c>
      <c r="W7" s="7">
        <f>SUM(Table3[[#This Row],[foreignHorse1]:[foreignHorse12]])</f>
        <v>0</v>
      </c>
      <c r="X7" s="3">
        <v>251053</v>
      </c>
      <c r="Y7" s="3">
        <v>40000</v>
      </c>
      <c r="Z7" s="3">
        <v>-15000</v>
      </c>
      <c r="AA7" s="3"/>
      <c r="AB7" s="3"/>
      <c r="AC7" s="3"/>
      <c r="AD7" s="3"/>
      <c r="AE7" s="3"/>
      <c r="AF7" s="3"/>
      <c r="AG7" s="3"/>
      <c r="AH7" s="3"/>
      <c r="AI7" s="3"/>
      <c r="AJ7" s="3">
        <v>0</v>
      </c>
      <c r="AK7" s="3">
        <v>0</v>
      </c>
      <c r="AL7" s="3"/>
      <c r="AM7" s="3"/>
      <c r="AN7" s="3"/>
      <c r="AO7" s="3"/>
      <c r="AP7" s="3"/>
      <c r="AQ7" s="3"/>
      <c r="AR7" s="3"/>
      <c r="AS7" s="3"/>
      <c r="AT7" s="3"/>
      <c r="AU7" s="3"/>
      <c r="AV7" s="3">
        <v>251053</v>
      </c>
      <c r="AW7" s="3">
        <v>60000</v>
      </c>
      <c r="AX7" s="3"/>
      <c r="AY7" s="3"/>
      <c r="AZ7" s="3"/>
      <c r="BA7" s="3"/>
      <c r="BB7" s="3"/>
      <c r="BC7" s="3"/>
      <c r="BD7" s="3"/>
      <c r="BE7" s="3"/>
      <c r="BF7" s="3"/>
      <c r="BG7" s="3"/>
      <c r="BH7" s="3">
        <v>0</v>
      </c>
      <c r="BI7" s="3">
        <v>-20000</v>
      </c>
      <c r="BJ7" s="3">
        <v>-15000</v>
      </c>
      <c r="BK7" s="3"/>
      <c r="BL7" s="3"/>
      <c r="BM7" s="3"/>
      <c r="BN7" s="3"/>
      <c r="BO7" s="3"/>
      <c r="BP7" s="3"/>
      <c r="BQ7" s="3"/>
      <c r="BR7" s="3"/>
      <c r="BS7" s="3"/>
      <c r="BT7" s="1">
        <v>0</v>
      </c>
      <c r="BU7" s="1">
        <v>0</v>
      </c>
      <c r="BV7" s="1"/>
      <c r="BW7" s="1"/>
      <c r="BX7" s="1"/>
      <c r="BY7" s="1"/>
      <c r="BZ7" s="1"/>
      <c r="CA7" s="1"/>
      <c r="CB7" s="1"/>
      <c r="CC7" s="1"/>
      <c r="CD7" s="1"/>
      <c r="CE7" s="1"/>
      <c r="CF7" s="1">
        <v>1</v>
      </c>
      <c r="CG7" s="1">
        <v>1</v>
      </c>
      <c r="CH7" s="1">
        <v>0</v>
      </c>
      <c r="CI7" s="1"/>
      <c r="CJ7" s="1"/>
      <c r="CK7" s="1"/>
      <c r="CL7" s="1"/>
      <c r="CM7" s="1"/>
      <c r="CN7" s="1"/>
      <c r="CO7" s="1"/>
      <c r="CP7" s="1"/>
      <c r="CQ7" s="1"/>
      <c r="CR7" s="1">
        <v>1</v>
      </c>
      <c r="CS7" s="1">
        <v>1</v>
      </c>
      <c r="CT7" s="1">
        <v>0</v>
      </c>
      <c r="CU7" s="1"/>
      <c r="CV7" s="1"/>
      <c r="CW7" s="1"/>
      <c r="CX7" s="1"/>
      <c r="CY7" s="1"/>
      <c r="CZ7" s="1"/>
      <c r="DA7" s="1"/>
      <c r="DB7" s="1"/>
      <c r="DC7" s="1"/>
      <c r="DD7" s="1">
        <v>0</v>
      </c>
      <c r="DE7" s="1">
        <v>0</v>
      </c>
      <c r="DF7" s="1">
        <v>0</v>
      </c>
      <c r="DG7" s="1"/>
      <c r="DH7" s="1"/>
      <c r="DI7" s="1"/>
      <c r="DJ7" s="1"/>
      <c r="DK7" s="1"/>
      <c r="DL7" s="1"/>
      <c r="DM7" s="1"/>
      <c r="DN7" s="1"/>
      <c r="DO7" s="1"/>
      <c r="DP7" s="1">
        <v>6</v>
      </c>
      <c r="DQ7" s="1">
        <v>7</v>
      </c>
      <c r="DR7" s="1">
        <v>8</v>
      </c>
      <c r="DS7" s="1"/>
      <c r="DT7" s="1"/>
      <c r="DU7" s="1"/>
      <c r="DV7" s="1"/>
      <c r="DW7" s="1"/>
      <c r="DX7" s="1"/>
      <c r="DY7" s="1"/>
      <c r="DZ7" s="1"/>
      <c r="EA7" s="1"/>
    </row>
    <row r="8" spans="1:131" x14ac:dyDescent="0.3">
      <c r="A8">
        <v>5192419</v>
      </c>
      <c r="B8" s="1" t="s">
        <v>67</v>
      </c>
      <c r="C8" s="1" t="s">
        <v>24</v>
      </c>
      <c r="D8" s="1">
        <v>2011</v>
      </c>
      <c r="E8" s="1">
        <v>7</v>
      </c>
      <c r="F8" s="10">
        <f>Table3[[#This Row],[First season 
with SF]]+Table3[[#This Row],['# Services 
provided]]</f>
        <v>14</v>
      </c>
      <c r="G8" s="26">
        <f>(Table3[[#This Row],[Total Income 
(Race + Price 
sold + Offs - maintenance cost)]]-Table3[[#This Row],[Price 
Bought]])/Table3[[#This Row],[Price 
Bought]]</f>
        <v>-0.42096476086956519</v>
      </c>
      <c r="H8" s="31">
        <f>Table3[[#This Row],[Race 
earnings]]+Table3[[#This Row],[Price 
Sold]]-Table3[[#This Row],[Maintenance cost]]+Table3[[#This Row],[Total 
profit (Income - cost)]]</f>
        <v>133178.10500000001</v>
      </c>
      <c r="I8" s="3">
        <f>_xlfn.IFNA(VLOOKUP(Table3[[#This Row],[damId]],Sheet1!$A$2:$M$970,5, FALSE), VLOOKUP(Table3[[#This Row],[dam]],Sheet1!$B$2:$M$970,4, FALSE))</f>
        <v>0</v>
      </c>
      <c r="J8" s="3">
        <f>_xlfn.IFNA(VLOOKUP(Table3[[#This Row],[damId]],Sheet1!$A$2:$M$970,13, FALSE), VLOOKUP(Table3[[#This Row],[dam]],Sheet1!$B$2:$M$970,13, FALSE))</f>
        <v>-230000</v>
      </c>
      <c r="K8" s="3">
        <f>_xlfn.IFNA(VLOOKUP(Table3[[#This Row],[damId]],Sheet1!$A$2:$M$970,11, FALSE), VLOOKUP(Table3[[#This Row],[dam]],Sheet1!$B$2:$M$970,11, FALSE))</f>
        <v>230000</v>
      </c>
      <c r="L8" s="3">
        <f>_xlfn.IFNA(VLOOKUP(Table3[[#This Row],[damId]],Sheet1!$A$2:$M$970,12, FALSE), VLOOKUP(Table3[[#This Row],[dam]],Sheet1!$B$2:$M$970,12, FALSE))</f>
        <v>0</v>
      </c>
      <c r="M8" s="3">
        <f>_xlfn.IFNA(VLOOKUP(Table3[[#This Row],[damId]],Sheet1!$A$2:$T$970,20, FALSE), VLOOKUP(Table3[[#This Row],[dam]],Sheet1!$B$2:$T$970,20, FALSE))*Sheet1!$AD$3</f>
        <v>214232.85</v>
      </c>
      <c r="N8" s="3">
        <f>Table3[[#This Row],[Total 
income (Earnings + value - stud fee)]]-Table3[[#This Row],[Maintenance cost ]]</f>
        <v>347410.95500000002</v>
      </c>
      <c r="O8" s="3">
        <f>SUM(Table3[[#This Row],[income1]:[income12]])</f>
        <v>410000</v>
      </c>
      <c r="P8" s="3">
        <f>_xlfn.IFNA(VLOOKUP(Table3[[#This Row],[damId]],Sheet1!$A$2:$Y$970,23, FALSE), VLOOKUP(Table3[[#This Row],[dam]],Sheet1!$B$2:$Y$970,23, FALSE))*Sheet1!$AD$3</f>
        <v>62589.044999999991</v>
      </c>
      <c r="Q8" s="3">
        <f>SUM(Table3[[#This Row],[earningsInRaces1]:[earningsInRaces12]])</f>
        <v>0</v>
      </c>
      <c r="R8" s="3">
        <f>SUM(Table3[[#This Row],[auctionPrice1]:[auctionPrice12]])</f>
        <v>495000</v>
      </c>
      <c r="S8" s="3">
        <f>SUM(Table3[[#This Row],[studFeeUSD1]:[studFeeUSD12]])</f>
        <v>-85000</v>
      </c>
      <c r="T8" s="7">
        <f>COUNT(Table3[[#This Row],[successfulService1]:[successfulService12]])</f>
        <v>7</v>
      </c>
      <c r="U8" s="7">
        <f>SUM(Table3[[#This Row],[successfulService1]:[successfulService12]])</f>
        <v>5</v>
      </c>
      <c r="V8" s="7">
        <f>SUM(Table3[[#This Row],[soldInAuction1]:[soldInAuction12]])</f>
        <v>3</v>
      </c>
      <c r="W8" s="7">
        <f>SUM(Table3[[#This Row],[foreignHorse1]:[foreignHorse12]])</f>
        <v>0</v>
      </c>
      <c r="X8" s="3">
        <v>0</v>
      </c>
      <c r="Y8" s="3">
        <v>220000</v>
      </c>
      <c r="Z8" s="3">
        <v>225000</v>
      </c>
      <c r="AA8" s="3">
        <v>0</v>
      </c>
      <c r="AB8" s="3">
        <v>-15000</v>
      </c>
      <c r="AC8" s="3">
        <v>-7500</v>
      </c>
      <c r="AD8" s="3">
        <v>-12500</v>
      </c>
      <c r="AE8" s="3"/>
      <c r="AF8" s="3"/>
      <c r="AG8" s="3"/>
      <c r="AH8" s="3"/>
      <c r="AI8" s="3"/>
      <c r="AJ8" s="3"/>
      <c r="AK8" s="3">
        <v>0</v>
      </c>
      <c r="AL8" s="3">
        <v>0</v>
      </c>
      <c r="AM8" s="3">
        <v>0</v>
      </c>
      <c r="AN8" s="3"/>
      <c r="AO8" s="3"/>
      <c r="AP8" s="3"/>
      <c r="AQ8" s="3"/>
      <c r="AR8" s="3"/>
      <c r="AS8" s="3"/>
      <c r="AT8" s="3"/>
      <c r="AU8" s="3"/>
      <c r="AV8" s="3"/>
      <c r="AW8" s="3">
        <v>240000</v>
      </c>
      <c r="AX8" s="3">
        <v>240000</v>
      </c>
      <c r="AY8" s="3">
        <v>15000</v>
      </c>
      <c r="AZ8" s="3"/>
      <c r="BA8" s="3"/>
      <c r="BB8" s="3"/>
      <c r="BC8" s="3"/>
      <c r="BD8" s="3"/>
      <c r="BE8" s="3"/>
      <c r="BF8" s="3"/>
      <c r="BG8" s="3"/>
      <c r="BH8" s="3">
        <v>0</v>
      </c>
      <c r="BI8" s="3">
        <v>-20000</v>
      </c>
      <c r="BJ8" s="3">
        <v>-15000</v>
      </c>
      <c r="BK8" s="3">
        <v>-15000</v>
      </c>
      <c r="BL8" s="3">
        <v>-15000</v>
      </c>
      <c r="BM8" s="3">
        <v>-7500</v>
      </c>
      <c r="BN8" s="3">
        <v>-12500</v>
      </c>
      <c r="BO8" s="3"/>
      <c r="BP8" s="3"/>
      <c r="BQ8" s="3"/>
      <c r="BR8" s="3"/>
      <c r="BS8" s="3"/>
      <c r="BT8" s="1"/>
      <c r="BU8" s="1">
        <v>0</v>
      </c>
      <c r="BV8" s="1">
        <v>0</v>
      </c>
      <c r="BW8" s="1">
        <v>0</v>
      </c>
      <c r="BX8" s="1"/>
      <c r="BY8" s="1"/>
      <c r="BZ8" s="1"/>
      <c r="CA8" s="1"/>
      <c r="CB8" s="1"/>
      <c r="CC8" s="1"/>
      <c r="CD8" s="1"/>
      <c r="CE8" s="1"/>
      <c r="CF8" s="1">
        <v>1</v>
      </c>
      <c r="CG8" s="1">
        <v>1</v>
      </c>
      <c r="CH8" s="1">
        <v>1</v>
      </c>
      <c r="CI8" s="1">
        <v>1</v>
      </c>
      <c r="CJ8" s="1">
        <v>0</v>
      </c>
      <c r="CK8" s="1">
        <v>1</v>
      </c>
      <c r="CL8" s="1">
        <v>0</v>
      </c>
      <c r="CM8" s="1"/>
      <c r="CN8" s="1"/>
      <c r="CO8" s="1"/>
      <c r="CP8" s="1"/>
      <c r="CQ8" s="1"/>
      <c r="CR8" s="1">
        <v>0</v>
      </c>
      <c r="CS8" s="1">
        <v>1</v>
      </c>
      <c r="CT8" s="1">
        <v>1</v>
      </c>
      <c r="CU8" s="1">
        <v>1</v>
      </c>
      <c r="CV8" s="1">
        <v>0</v>
      </c>
      <c r="CW8" s="1">
        <v>0</v>
      </c>
      <c r="CX8" s="1">
        <v>0</v>
      </c>
      <c r="CY8" s="1"/>
      <c r="CZ8" s="1"/>
      <c r="DA8" s="1"/>
      <c r="DB8" s="1"/>
      <c r="DC8" s="1"/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/>
      <c r="DL8" s="1"/>
      <c r="DM8" s="1"/>
      <c r="DN8" s="1"/>
      <c r="DO8" s="1"/>
      <c r="DP8" s="1">
        <v>7</v>
      </c>
      <c r="DQ8" s="1">
        <v>8</v>
      </c>
      <c r="DR8" s="1">
        <v>9</v>
      </c>
      <c r="DS8" s="1">
        <v>10</v>
      </c>
      <c r="DT8" s="1">
        <v>11</v>
      </c>
      <c r="DU8" s="1">
        <v>12</v>
      </c>
      <c r="DV8" s="1">
        <v>13</v>
      </c>
      <c r="DW8" s="1"/>
      <c r="DX8" s="1"/>
      <c r="DY8" s="1"/>
      <c r="DZ8" s="1"/>
      <c r="EA8" s="1"/>
    </row>
    <row r="9" spans="1:131" x14ac:dyDescent="0.3">
      <c r="A9">
        <v>6880710</v>
      </c>
      <c r="B9" s="1" t="s">
        <v>129</v>
      </c>
      <c r="C9" s="1" t="s">
        <v>24</v>
      </c>
      <c r="D9" s="1">
        <v>2011</v>
      </c>
      <c r="E9" s="1">
        <v>2</v>
      </c>
      <c r="F9" s="10">
        <f>Table3[[#This Row],[First season 
with SF]]+Table3[[#This Row],['# Services 
provided]]</f>
        <v>6</v>
      </c>
      <c r="G9" s="26">
        <f>(Table3[[#This Row],[Total Income 
(Race + Price 
sold + Offs - maintenance cost)]]-Table3[[#This Row],[Price 
Bought]])/Table3[[#This Row],[Price 
Bought]]</f>
        <v>-0.76945204999999994</v>
      </c>
      <c r="H9" s="31">
        <f>Table3[[#This Row],[Race 
earnings]]+Table3[[#This Row],[Price 
Sold]]-Table3[[#This Row],[Maintenance cost]]+Table3[[#This Row],[Total 
profit (Income - cost)]]</f>
        <v>207493.15500000003</v>
      </c>
      <c r="I9" s="3">
        <f>_xlfn.IFNA(VLOOKUP(Table3[[#This Row],[damId]],Sheet1!$A$2:$M$970,5, FALSE), VLOOKUP(Table3[[#This Row],[dam]],Sheet1!$B$2:$M$970,4, FALSE))</f>
        <v>0</v>
      </c>
      <c r="J9" s="3">
        <f>_xlfn.IFNA(VLOOKUP(Table3[[#This Row],[damId]],Sheet1!$A$2:$M$970,13, FALSE), VLOOKUP(Table3[[#This Row],[dam]],Sheet1!$B$2:$M$970,13, FALSE))</f>
        <v>-500000</v>
      </c>
      <c r="K9" s="3">
        <f>_xlfn.IFNA(VLOOKUP(Table3[[#This Row],[damId]],Sheet1!$A$2:$M$970,11, FALSE), VLOOKUP(Table3[[#This Row],[dam]],Sheet1!$B$2:$M$970,11, FALSE))</f>
        <v>900000</v>
      </c>
      <c r="L9" s="3">
        <f>_xlfn.IFNA(VLOOKUP(Table3[[#This Row],[damId]],Sheet1!$A$2:$M$970,12, FALSE), VLOOKUP(Table3[[#This Row],[dam]],Sheet1!$B$2:$M$970,12, FALSE))</f>
        <v>400000</v>
      </c>
      <c r="M9" s="3">
        <f>_xlfn.IFNA(VLOOKUP(Table3[[#This Row],[damId]],Sheet1!$A$2:$T$970,20, FALSE), VLOOKUP(Table3[[#This Row],[dam]],Sheet1!$B$2:$T$970,20, FALSE))*Sheet1!$AD$3</f>
        <v>47506.845000000001</v>
      </c>
      <c r="N9" s="3">
        <f>Table3[[#This Row],[Total 
income (Earnings + value - stud fee)]]-Table3[[#This Row],[Maintenance cost ]]</f>
        <v>-145000</v>
      </c>
      <c r="O9" s="3">
        <f>SUM(Table3[[#This Row],[income1]:[income12]])</f>
        <v>-145000</v>
      </c>
      <c r="P9" s="3">
        <f>_xlfn.IFNA(VLOOKUP(Table3[[#This Row],[damId]],Sheet1!$A$2:$Y$970,23, FALSE), VLOOKUP(Table3[[#This Row],[dam]],Sheet1!$B$2:$Y$970,23, FALSE))*Sheet1!$AD$3</f>
        <v>0</v>
      </c>
      <c r="Q9" s="3">
        <f>SUM(Table3[[#This Row],[earningsInRaces1]:[earningsInRaces12]])</f>
        <v>0</v>
      </c>
      <c r="R9" s="3">
        <f>SUM(Table3[[#This Row],[auctionPrice1]:[auctionPrice12]])</f>
        <v>255000</v>
      </c>
      <c r="S9" s="3">
        <f>SUM(Table3[[#This Row],[studFeeUSD1]:[studFeeUSD12]])</f>
        <v>-400000</v>
      </c>
      <c r="T9" s="7">
        <f>COUNT(Table3[[#This Row],[successfulService1]:[successfulService12]])</f>
        <v>4</v>
      </c>
      <c r="U9" s="7">
        <f>SUM(Table3[[#This Row],[successfulService1]:[successfulService12]])</f>
        <v>2</v>
      </c>
      <c r="V9" s="7">
        <f>SUM(Table3[[#This Row],[soldInAuction1]:[soldInAuction12]])</f>
        <v>2</v>
      </c>
      <c r="W9" s="7">
        <f>SUM(Table3[[#This Row],[foreignHorse1]:[foreignHorse12]])</f>
        <v>0</v>
      </c>
      <c r="X9" s="3">
        <v>105000</v>
      </c>
      <c r="Y9" s="3">
        <v>50000</v>
      </c>
      <c r="Z9" s="3">
        <v>-150000</v>
      </c>
      <c r="AA9" s="3">
        <v>-150000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>
        <v>105000</v>
      </c>
      <c r="AW9" s="3">
        <v>150000</v>
      </c>
      <c r="AX9" s="3"/>
      <c r="AY9" s="3"/>
      <c r="AZ9" s="3"/>
      <c r="BA9" s="3"/>
      <c r="BB9" s="3"/>
      <c r="BC9" s="3"/>
      <c r="BD9" s="3"/>
      <c r="BE9" s="3"/>
      <c r="BF9" s="3"/>
      <c r="BG9" s="3"/>
      <c r="BH9" s="3">
        <v>0</v>
      </c>
      <c r="BI9" s="3">
        <v>-100000</v>
      </c>
      <c r="BJ9" s="3">
        <v>-150000</v>
      </c>
      <c r="BK9" s="3">
        <v>-150000</v>
      </c>
      <c r="BL9" s="3"/>
      <c r="BM9" s="3"/>
      <c r="BN9" s="3"/>
      <c r="BO9" s="3"/>
      <c r="BP9" s="3"/>
      <c r="BQ9" s="3"/>
      <c r="BR9" s="3"/>
      <c r="BS9" s="3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>
        <v>1</v>
      </c>
      <c r="CG9" s="1">
        <v>1</v>
      </c>
      <c r="CH9" s="1">
        <v>0</v>
      </c>
      <c r="CI9" s="1">
        <v>0</v>
      </c>
      <c r="CJ9" s="1"/>
      <c r="CK9" s="1"/>
      <c r="CL9" s="1"/>
      <c r="CM9" s="1"/>
      <c r="CN9" s="1"/>
      <c r="CO9" s="1"/>
      <c r="CP9" s="1"/>
      <c r="CQ9" s="1"/>
      <c r="CR9" s="1">
        <v>1</v>
      </c>
      <c r="CS9" s="1">
        <v>1</v>
      </c>
      <c r="CT9" s="1">
        <v>0</v>
      </c>
      <c r="CU9" s="1">
        <v>0</v>
      </c>
      <c r="CV9" s="1"/>
      <c r="CW9" s="1"/>
      <c r="CX9" s="1"/>
      <c r="CY9" s="1"/>
      <c r="CZ9" s="1"/>
      <c r="DA9" s="1"/>
      <c r="DB9" s="1"/>
      <c r="DC9" s="1"/>
      <c r="DD9" s="1">
        <v>0</v>
      </c>
      <c r="DE9" s="1">
        <v>0</v>
      </c>
      <c r="DF9" s="1">
        <v>0</v>
      </c>
      <c r="DG9" s="1">
        <v>0</v>
      </c>
      <c r="DH9" s="1"/>
      <c r="DI9" s="1"/>
      <c r="DJ9" s="1"/>
      <c r="DK9" s="1"/>
      <c r="DL9" s="1"/>
      <c r="DM9" s="1"/>
      <c r="DN9" s="1"/>
      <c r="DO9" s="1"/>
      <c r="DP9" s="1">
        <v>2</v>
      </c>
      <c r="DQ9" s="1">
        <v>3</v>
      </c>
      <c r="DR9" s="1">
        <v>4</v>
      </c>
      <c r="DS9" s="1">
        <v>5</v>
      </c>
      <c r="DT9" s="1"/>
      <c r="DU9" s="1"/>
      <c r="DV9" s="1"/>
      <c r="DW9" s="1"/>
      <c r="DX9" s="1"/>
      <c r="DY9" s="1"/>
      <c r="DZ9" s="1"/>
      <c r="EA9" s="1"/>
    </row>
    <row r="10" spans="1:131" x14ac:dyDescent="0.3">
      <c r="A10">
        <v>7690741</v>
      </c>
      <c r="B10" s="1" t="s">
        <v>185</v>
      </c>
      <c r="C10" s="1" t="s">
        <v>24</v>
      </c>
      <c r="D10" s="1">
        <v>2011</v>
      </c>
      <c r="E10" s="1">
        <v>1</v>
      </c>
      <c r="F10" s="10">
        <f>Table3[[#This Row],[First season 
with SF]]+Table3[[#This Row],['# Services 
provided]]</f>
        <v>6</v>
      </c>
      <c r="G10" s="26">
        <f>(Table3[[#This Row],[Total Income 
(Race + Price 
sold + Offs - maintenance cost)]]-Table3[[#This Row],[Price 
Bought]])/Table3[[#This Row],[Price 
Bought]]</f>
        <v>9.2038832307692307</v>
      </c>
      <c r="H10" s="31">
        <f>Table3[[#This Row],[Race 
earnings]]+Table3[[#This Row],[Price 
Sold]]-Table3[[#This Row],[Maintenance cost]]+Table3[[#This Row],[Total 
profit (Income - cost)]]</f>
        <v>1326504.82</v>
      </c>
      <c r="I10" s="3">
        <f>_xlfn.IFNA(VLOOKUP(Table3[[#This Row],[damId]],Sheet1!$A$2:$M$970,5, FALSE), VLOOKUP(Table3[[#This Row],[dam]],Sheet1!$B$2:$M$970,4, FALSE))</f>
        <v>0</v>
      </c>
      <c r="J10" s="3">
        <f>_xlfn.IFNA(VLOOKUP(Table3[[#This Row],[damId]],Sheet1!$A$2:$M$970,13, FALSE), VLOOKUP(Table3[[#This Row],[dam]],Sheet1!$B$2:$M$970,13, FALSE))</f>
        <v>970000</v>
      </c>
      <c r="K10" s="3">
        <f>_xlfn.IFNA(VLOOKUP(Table3[[#This Row],[damId]],Sheet1!$A$2:$M$970,11, FALSE), VLOOKUP(Table3[[#This Row],[dam]],Sheet1!$B$2:$M$970,11, FALSE))</f>
        <v>130000</v>
      </c>
      <c r="L10" s="3">
        <f>_xlfn.IFNA(VLOOKUP(Table3[[#This Row],[damId]],Sheet1!$A$2:$M$970,12, FALSE), VLOOKUP(Table3[[#This Row],[dam]],Sheet1!$B$2:$M$970,12, FALSE))</f>
        <v>1100000</v>
      </c>
      <c r="M10" s="3">
        <f>_xlfn.IFNA(VLOOKUP(Table3[[#This Row],[damId]],Sheet1!$A$2:$T$970,20, FALSE), VLOOKUP(Table3[[#This Row],[dam]],Sheet1!$B$2:$T$970,20, FALSE))*Sheet1!$AD$3</f>
        <v>74712.33</v>
      </c>
      <c r="N10" s="3">
        <f>Table3[[#This Row],[Total 
income (Earnings + value - stud fee)]]-Table3[[#This Row],[Maintenance cost ]]</f>
        <v>301217.14999999997</v>
      </c>
      <c r="O10" s="3">
        <f>SUM(Table3[[#This Row],[income1]:[income12]])</f>
        <v>584450</v>
      </c>
      <c r="P10" s="3">
        <f>_xlfn.IFNA(VLOOKUP(Table3[[#This Row],[damId]],Sheet1!$A$2:$Y$970,23, FALSE), VLOOKUP(Table3[[#This Row],[dam]],Sheet1!$B$2:$Y$970,23, FALSE))*Sheet1!$AD$3</f>
        <v>283232.85000000003</v>
      </c>
      <c r="Q10" s="3">
        <f>SUM(Table3[[#This Row],[earningsInRaces1]:[earningsInRaces12]])</f>
        <v>64450</v>
      </c>
      <c r="R10" s="3">
        <f>SUM(Table3[[#This Row],[auctionPrice1]:[auctionPrice12]])</f>
        <v>610000</v>
      </c>
      <c r="S10" s="3">
        <f>SUM(Table3[[#This Row],[studFeeUSD1]:[studFeeUSD12]])</f>
        <v>-90000</v>
      </c>
      <c r="T10" s="7">
        <f>COUNT(Table3[[#This Row],[successfulService1]:[successfulService12]])</f>
        <v>5</v>
      </c>
      <c r="U10" s="7">
        <f>SUM(Table3[[#This Row],[successfulService1]:[successfulService12]])</f>
        <v>4</v>
      </c>
      <c r="V10" s="7">
        <f>SUM(Table3[[#This Row],[soldInAuction1]:[soldInAuction12]])</f>
        <v>3</v>
      </c>
      <c r="W10" s="7">
        <f>SUM(Table3[[#This Row],[foreignHorse1]:[foreignHorse12]])</f>
        <v>0</v>
      </c>
      <c r="X10" s="3">
        <v>250000</v>
      </c>
      <c r="Y10" s="3">
        <v>-20000</v>
      </c>
      <c r="Z10" s="3">
        <v>109450</v>
      </c>
      <c r="AA10" s="3">
        <v>270000</v>
      </c>
      <c r="AB10" s="3">
        <v>-25000</v>
      </c>
      <c r="AC10" s="3"/>
      <c r="AD10" s="3"/>
      <c r="AE10" s="3"/>
      <c r="AF10" s="3"/>
      <c r="AG10" s="3"/>
      <c r="AH10" s="3"/>
      <c r="AI10" s="3"/>
      <c r="AJ10" s="3"/>
      <c r="AK10" s="3">
        <v>0</v>
      </c>
      <c r="AL10" s="3">
        <v>64450</v>
      </c>
      <c r="AM10" s="3">
        <v>0</v>
      </c>
      <c r="AN10" s="3"/>
      <c r="AO10" s="3"/>
      <c r="AP10" s="3"/>
      <c r="AQ10" s="3"/>
      <c r="AR10" s="3"/>
      <c r="AS10" s="3"/>
      <c r="AT10" s="3"/>
      <c r="AU10" s="3"/>
      <c r="AV10" s="3">
        <v>250000</v>
      </c>
      <c r="AW10" s="3"/>
      <c r="AX10" s="3">
        <v>60000</v>
      </c>
      <c r="AY10" s="3">
        <v>300000</v>
      </c>
      <c r="AZ10" s="3"/>
      <c r="BA10" s="3"/>
      <c r="BB10" s="3"/>
      <c r="BC10" s="3"/>
      <c r="BD10" s="3"/>
      <c r="BE10" s="3"/>
      <c r="BF10" s="3"/>
      <c r="BG10" s="3"/>
      <c r="BH10" s="3">
        <v>0</v>
      </c>
      <c r="BI10" s="3">
        <v>-20000</v>
      </c>
      <c r="BJ10" s="3">
        <v>-15000</v>
      </c>
      <c r="BK10" s="3">
        <v>-30000</v>
      </c>
      <c r="BL10" s="3">
        <v>-25000</v>
      </c>
      <c r="BM10" s="3"/>
      <c r="BN10" s="3"/>
      <c r="BO10" s="3"/>
      <c r="BP10" s="3"/>
      <c r="BQ10" s="3"/>
      <c r="BR10" s="3"/>
      <c r="BS10" s="3"/>
      <c r="BT10" s="1"/>
      <c r="BU10" s="1">
        <v>0</v>
      </c>
      <c r="BV10" s="1">
        <v>1</v>
      </c>
      <c r="BW10" s="1">
        <v>0</v>
      </c>
      <c r="BX10" s="1"/>
      <c r="BY10" s="1"/>
      <c r="BZ10" s="1"/>
      <c r="CA10" s="1"/>
      <c r="CB10" s="1"/>
      <c r="CC10" s="1"/>
      <c r="CD10" s="1"/>
      <c r="CE10" s="1"/>
      <c r="CF10" s="1">
        <v>1</v>
      </c>
      <c r="CG10" s="1">
        <v>1</v>
      </c>
      <c r="CH10" s="1">
        <v>1</v>
      </c>
      <c r="CI10" s="1">
        <v>1</v>
      </c>
      <c r="CJ10" s="1">
        <v>0</v>
      </c>
      <c r="CK10" s="1"/>
      <c r="CL10" s="1"/>
      <c r="CM10" s="1"/>
      <c r="CN10" s="1"/>
      <c r="CO10" s="1"/>
      <c r="CP10" s="1"/>
      <c r="CQ10" s="1"/>
      <c r="CR10" s="1">
        <v>1</v>
      </c>
      <c r="CS10" s="1">
        <v>0</v>
      </c>
      <c r="CT10" s="1">
        <v>1</v>
      </c>
      <c r="CU10" s="1">
        <v>1</v>
      </c>
      <c r="CV10" s="1">
        <v>0</v>
      </c>
      <c r="CW10" s="1"/>
      <c r="CX10" s="1"/>
      <c r="CY10" s="1"/>
      <c r="CZ10" s="1"/>
      <c r="DA10" s="1"/>
      <c r="DB10" s="1"/>
      <c r="DC10" s="1"/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/>
      <c r="DJ10" s="1"/>
      <c r="DK10" s="1"/>
      <c r="DL10" s="1"/>
      <c r="DM10" s="1"/>
      <c r="DN10" s="1"/>
      <c r="DO10" s="1"/>
      <c r="DP10" s="1">
        <v>1</v>
      </c>
      <c r="DQ10" s="1">
        <v>2</v>
      </c>
      <c r="DR10" s="1">
        <v>3</v>
      </c>
      <c r="DS10" s="1">
        <v>4</v>
      </c>
      <c r="DT10" s="1">
        <v>5</v>
      </c>
      <c r="DU10" s="1"/>
      <c r="DV10" s="1"/>
      <c r="DW10" s="1"/>
      <c r="DX10" s="1"/>
      <c r="DY10" s="1"/>
      <c r="DZ10" s="1"/>
      <c r="EA10" s="1"/>
    </row>
    <row r="11" spans="1:131" x14ac:dyDescent="0.3">
      <c r="A11">
        <v>1438514</v>
      </c>
      <c r="B11" s="1" t="s">
        <v>26</v>
      </c>
      <c r="C11" s="1" t="s">
        <v>24</v>
      </c>
      <c r="D11" s="1">
        <v>2012</v>
      </c>
      <c r="E11" s="1">
        <v>14</v>
      </c>
      <c r="F11" s="10">
        <f>Table3[[#This Row],[First season 
with SF]]+Table3[[#This Row],['# Services 
provided]]</f>
        <v>18</v>
      </c>
      <c r="G11" s="26">
        <f>(Table3[[#This Row],[Total Income 
(Race + Price 
sold + Offs - maintenance cost)]]-Table3[[#This Row],[Price 
Bought]])/Table3[[#This Row],[Price 
Bought]]</f>
        <v>-3.9279106249999995</v>
      </c>
      <c r="H11" s="31">
        <f>Table3[[#This Row],[Race 
earnings]]+Table3[[#This Row],[Price 
Sold]]-Table3[[#This Row],[Maintenance cost]]+Table3[[#This Row],[Total 
profit (Income - cost)]]</f>
        <v>-234232.85</v>
      </c>
      <c r="I11" s="3">
        <f>_xlfn.IFNA(VLOOKUP(Table3[[#This Row],[damId]],Sheet1!$A$2:$M$970,5, FALSE), VLOOKUP(Table3[[#This Row],[dam]],Sheet1!$B$2:$M$970,4, FALSE))</f>
        <v>0</v>
      </c>
      <c r="J11" s="3">
        <f>_xlfn.IFNA(VLOOKUP(Table3[[#This Row],[damId]],Sheet1!$A$2:$M$970,13, FALSE), VLOOKUP(Table3[[#This Row],[dam]],Sheet1!$B$2:$M$970,13, FALSE))</f>
        <v>-80000</v>
      </c>
      <c r="K11" s="3">
        <f>_xlfn.IFNA(VLOOKUP(Table3[[#This Row],[damId]],Sheet1!$A$2:$M$970,11, FALSE), VLOOKUP(Table3[[#This Row],[dam]],Sheet1!$B$2:$M$970,11, FALSE))</f>
        <v>80000</v>
      </c>
      <c r="L11" s="3">
        <f>_xlfn.IFNA(VLOOKUP(Table3[[#This Row],[damId]],Sheet1!$A$2:$M$970,12, FALSE), VLOOKUP(Table3[[#This Row],[dam]],Sheet1!$B$2:$M$970,12, FALSE))</f>
        <v>0</v>
      </c>
      <c r="M11" s="3">
        <f>_xlfn.IFNA(VLOOKUP(Table3[[#This Row],[damId]],Sheet1!$A$2:$T$970,20, FALSE), VLOOKUP(Table3[[#This Row],[dam]],Sheet1!$B$2:$T$970,20, FALSE))*Sheet1!$AD$3</f>
        <v>199232.85</v>
      </c>
      <c r="N11" s="3">
        <f>Table3[[#This Row],[Total 
income (Earnings + value - stud fee)]]-Table3[[#This Row],[Maintenance cost ]]</f>
        <v>-35000</v>
      </c>
      <c r="O11" s="3">
        <f>SUM(Table3[[#This Row],[income1]:[income12]])</f>
        <v>-35000</v>
      </c>
      <c r="P11" s="3">
        <f>_xlfn.IFNA(VLOOKUP(Table3[[#This Row],[damId]],Sheet1!$A$2:$Y$970,23, FALSE), VLOOKUP(Table3[[#This Row],[dam]],Sheet1!$B$2:$Y$970,23, FALSE))*Sheet1!$AD$3</f>
        <v>0</v>
      </c>
      <c r="Q11" s="3">
        <f>SUM(Table3[[#This Row],[earningsInRaces1]:[earningsInRaces12]])</f>
        <v>0</v>
      </c>
      <c r="R11" s="3">
        <f>SUM(Table3[[#This Row],[auctionPrice1]:[auctionPrice12]])</f>
        <v>0</v>
      </c>
      <c r="S11" s="3">
        <f>SUM(Table3[[#This Row],[studFeeUSD1]:[studFeeUSD12]])</f>
        <v>-35000</v>
      </c>
      <c r="T11" s="7">
        <f>COUNT(Table3[[#This Row],[successfulService1]:[successfulService12]])</f>
        <v>4</v>
      </c>
      <c r="U11" s="7">
        <f>SUM(Table3[[#This Row],[successfulService1]:[successfulService12]])</f>
        <v>1</v>
      </c>
      <c r="V11" s="7">
        <f>SUM(Table3[[#This Row],[soldInAuction1]:[soldInAuction12]])</f>
        <v>0</v>
      </c>
      <c r="W11" s="7">
        <f>SUM(Table3[[#This Row],[foreignHorse1]:[foreignHorse12]])</f>
        <v>0</v>
      </c>
      <c r="X11" s="3">
        <v>0</v>
      </c>
      <c r="Y11" s="3">
        <v>-10000</v>
      </c>
      <c r="Z11" s="3">
        <v>-10000</v>
      </c>
      <c r="AA11" s="3">
        <v>-15000</v>
      </c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>
        <v>0</v>
      </c>
      <c r="BI11" s="3">
        <v>-10000</v>
      </c>
      <c r="BJ11" s="3">
        <v>-10000</v>
      </c>
      <c r="BK11" s="3">
        <v>-15000</v>
      </c>
      <c r="BL11" s="3"/>
      <c r="BM11" s="3"/>
      <c r="BN11" s="3"/>
      <c r="BO11" s="3"/>
      <c r="BP11" s="3"/>
      <c r="BQ11" s="3"/>
      <c r="BR11" s="3"/>
      <c r="BS11" s="3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>
        <v>1</v>
      </c>
      <c r="CG11" s="1">
        <v>0</v>
      </c>
      <c r="CH11" s="1">
        <v>0</v>
      </c>
      <c r="CI11" s="1">
        <v>0</v>
      </c>
      <c r="CJ11" s="1"/>
      <c r="CK11" s="1"/>
      <c r="CL11" s="1"/>
      <c r="CM11" s="1"/>
      <c r="CN11" s="1"/>
      <c r="CO11" s="1"/>
      <c r="CP11" s="1"/>
      <c r="CQ11" s="1"/>
      <c r="CR11" s="1">
        <v>0</v>
      </c>
      <c r="CS11" s="1">
        <v>0</v>
      </c>
      <c r="CT11" s="1">
        <v>0</v>
      </c>
      <c r="CU11" s="1">
        <v>0</v>
      </c>
      <c r="CV11" s="1"/>
      <c r="CW11" s="1"/>
      <c r="CX11" s="1"/>
      <c r="CY11" s="1"/>
      <c r="CZ11" s="1"/>
      <c r="DA11" s="1"/>
      <c r="DB11" s="1"/>
      <c r="DC11" s="1"/>
      <c r="DD11" s="1">
        <v>0</v>
      </c>
      <c r="DE11" s="1">
        <v>0</v>
      </c>
      <c r="DF11" s="1">
        <v>0</v>
      </c>
      <c r="DG11" s="1">
        <v>0</v>
      </c>
      <c r="DH11" s="1"/>
      <c r="DI11" s="1"/>
      <c r="DJ11" s="1"/>
      <c r="DK11" s="1"/>
      <c r="DL11" s="1"/>
      <c r="DM11" s="1"/>
      <c r="DN11" s="1"/>
      <c r="DO11" s="1"/>
      <c r="DP11" s="1">
        <v>14</v>
      </c>
      <c r="DQ11" s="1">
        <v>15</v>
      </c>
      <c r="DR11" s="1">
        <v>16</v>
      </c>
      <c r="DS11" s="1">
        <v>17</v>
      </c>
      <c r="DT11" s="1"/>
      <c r="DU11" s="1"/>
      <c r="DV11" s="1"/>
      <c r="DW11" s="1"/>
      <c r="DX11" s="1"/>
      <c r="DY11" s="1"/>
      <c r="DZ11" s="1"/>
      <c r="EA11" s="1"/>
    </row>
    <row r="12" spans="1:131" x14ac:dyDescent="0.3">
      <c r="A12">
        <v>2526193</v>
      </c>
      <c r="B12" s="1" t="s">
        <v>30</v>
      </c>
      <c r="C12" s="1" t="s">
        <v>24</v>
      </c>
      <c r="D12" s="1">
        <v>2012</v>
      </c>
      <c r="E12" s="1">
        <v>11</v>
      </c>
      <c r="F12" s="10">
        <f>Table3[[#This Row],[First season 
with SF]]+Table3[[#This Row],['# Services 
provided]]</f>
        <v>13</v>
      </c>
      <c r="G12" s="26">
        <f>(Table3[[#This Row],[Total Income 
(Race + Price 
sold + Offs - maintenance cost)]]-Table3[[#This Row],[Price 
Bought]])/Table3[[#This Row],[Price 
Bought]]</f>
        <v>-1.0837846103108231</v>
      </c>
      <c r="H12" s="31">
        <f>Table3[[#This Row],[Race 
earnings]]+Table3[[#This Row],[Price 
Sold]]-Table3[[#This Row],[Maintenance cost]]+Table3[[#This Row],[Total 
profit (Income - cost)]]</f>
        <v>-20578.002999999997</v>
      </c>
      <c r="I12" s="3">
        <f>_xlfn.IFNA(VLOOKUP(Table3[[#This Row],[damId]],Sheet1!$A$2:$M$970,5, FALSE), VLOOKUP(Table3[[#This Row],[dam]],Sheet1!$B$2:$M$970,4, FALSE))</f>
        <v>0</v>
      </c>
      <c r="J12" s="3">
        <f>_xlfn.IFNA(VLOOKUP(Table3[[#This Row],[damId]],Sheet1!$A$2:$M$970,13, FALSE), VLOOKUP(Table3[[#This Row],[dam]],Sheet1!$B$2:$M$970,13, FALSE))</f>
        <v>-234016</v>
      </c>
      <c r="K12" s="3">
        <f>_xlfn.IFNA(VLOOKUP(Table3[[#This Row],[damId]],Sheet1!$A$2:$M$970,11, FALSE), VLOOKUP(Table3[[#This Row],[dam]],Sheet1!$B$2:$M$970,11, FALSE))</f>
        <v>245606</v>
      </c>
      <c r="L12" s="3">
        <f>_xlfn.IFNA(VLOOKUP(Table3[[#This Row],[damId]],Sheet1!$A$2:$M$970,12, FALSE), VLOOKUP(Table3[[#This Row],[dam]],Sheet1!$B$2:$M$970,12, FALSE))</f>
        <v>11590</v>
      </c>
      <c r="M12" s="3">
        <f>_xlfn.IFNA(VLOOKUP(Table3[[#This Row],[damId]],Sheet1!$A$2:$T$970,20, FALSE), VLOOKUP(Table3[[#This Row],[dam]],Sheet1!$B$2:$T$970,20, FALSE))*Sheet1!$AD$3</f>
        <v>48041.1</v>
      </c>
      <c r="N12" s="3">
        <f>Table3[[#This Row],[Total 
income (Earnings + value - stud fee)]]-Table3[[#This Row],[Maintenance cost ]]</f>
        <v>15873.097</v>
      </c>
      <c r="O12" s="3">
        <f>SUM(Table3[[#This Row],[income1]:[income12]])</f>
        <v>15873.097</v>
      </c>
      <c r="P12" s="3">
        <f>_xlfn.IFNA(VLOOKUP(Table3[[#This Row],[damId]],Sheet1!$A$2:$Y$970,23, FALSE), VLOOKUP(Table3[[#This Row],[dam]],Sheet1!$B$2:$Y$970,23, FALSE))*Sheet1!$AD$3</f>
        <v>0</v>
      </c>
      <c r="Q12" s="3">
        <f>SUM(Table3[[#This Row],[earningsInRaces1]:[earningsInRaces12]])</f>
        <v>0</v>
      </c>
      <c r="R12" s="3">
        <f>SUM(Table3[[#This Row],[auctionPrice1]:[auctionPrice12]])</f>
        <v>27486</v>
      </c>
      <c r="S12" s="3">
        <f>SUM(Table3[[#This Row],[studFeeUSD1]:[studFeeUSD12]])</f>
        <v>-11612.9</v>
      </c>
      <c r="T12" s="7">
        <f>COUNT(Table3[[#This Row],[successfulService1]:[successfulService12]])</f>
        <v>2</v>
      </c>
      <c r="U12" s="7">
        <f>SUM(Table3[[#This Row],[successfulService1]:[successfulService12]])</f>
        <v>2</v>
      </c>
      <c r="V12" s="7">
        <f>SUM(Table3[[#This Row],[soldInAuction1]:[soldInAuction12]])</f>
        <v>2</v>
      </c>
      <c r="W12" s="7">
        <f>SUM(Table3[[#This Row],[foreignHorse1]:[foreignHorse12]])</f>
        <v>2</v>
      </c>
      <c r="X12" s="3">
        <v>13781</v>
      </c>
      <c r="Y12" s="3">
        <v>2092.0970000000002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>
        <v>13781</v>
      </c>
      <c r="AW12" s="3">
        <v>13705</v>
      </c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>
        <v>0</v>
      </c>
      <c r="BI12" s="3">
        <v>-11612.9</v>
      </c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>
        <v>1</v>
      </c>
      <c r="CG12" s="1">
        <v>1</v>
      </c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>
        <v>1</v>
      </c>
      <c r="CS12" s="1">
        <v>1</v>
      </c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>
        <v>1</v>
      </c>
      <c r="DE12" s="1">
        <v>1</v>
      </c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>
        <v>11</v>
      </c>
      <c r="DQ12" s="1">
        <v>12</v>
      </c>
      <c r="DR12" s="1"/>
      <c r="DS12" s="1"/>
      <c r="DT12" s="1"/>
      <c r="DU12" s="1"/>
      <c r="DV12" s="1"/>
      <c r="DW12" s="1"/>
      <c r="DX12" s="1"/>
      <c r="DY12" s="1"/>
      <c r="DZ12" s="1"/>
      <c r="EA12" s="1"/>
    </row>
    <row r="13" spans="1:131" x14ac:dyDescent="0.3">
      <c r="A13">
        <v>7177687</v>
      </c>
      <c r="B13" s="1" t="s">
        <v>137</v>
      </c>
      <c r="C13" s="1" t="s">
        <v>139</v>
      </c>
      <c r="D13" s="1">
        <v>2012</v>
      </c>
      <c r="E13" s="1">
        <v>1</v>
      </c>
      <c r="F13" s="10">
        <f>Table3[[#This Row],[First season 
with SF]]+Table3[[#This Row],['# Services 
provided]]</f>
        <v>6</v>
      </c>
      <c r="G13" s="26">
        <f>(Table3[[#This Row],[Total Income 
(Race + Price 
sold + Offs - maintenance cost)]]-Table3[[#This Row],[Price 
Bought]])/Table3[[#This Row],[Price 
Bought]]</f>
        <v>-0.80890415384615388</v>
      </c>
      <c r="H13" s="31">
        <f>Table3[[#This Row],[Race 
earnings]]+Table3[[#This Row],[Price 
Sold]]-Table3[[#This Row],[Maintenance cost]]+Table3[[#This Row],[Total 
profit (Income - cost)]]</f>
        <v>24842.459999999992</v>
      </c>
      <c r="I13" s="3">
        <f>_xlfn.IFNA(VLOOKUP(Table3[[#This Row],[damId]],Sheet1!$A$2:$M$970,5, FALSE), VLOOKUP(Table3[[#This Row],[dam]],Sheet1!$B$2:$M$970,4, FALSE))</f>
        <v>0</v>
      </c>
      <c r="J13" s="3">
        <f>_xlfn.IFNA(VLOOKUP(Table3[[#This Row],[damId]],Sheet1!$A$2:$M$970,13, FALSE), VLOOKUP(Table3[[#This Row],[dam]],Sheet1!$B$2:$M$970,13, FALSE))</f>
        <v>-110000</v>
      </c>
      <c r="K13" s="3">
        <f>_xlfn.IFNA(VLOOKUP(Table3[[#This Row],[damId]],Sheet1!$A$2:$M$970,11, FALSE), VLOOKUP(Table3[[#This Row],[dam]],Sheet1!$B$2:$M$970,11, FALSE))</f>
        <v>130000</v>
      </c>
      <c r="L13" s="3">
        <f>_xlfn.IFNA(VLOOKUP(Table3[[#This Row],[damId]],Sheet1!$A$2:$M$970,12, FALSE), VLOOKUP(Table3[[#This Row],[dam]],Sheet1!$B$2:$M$970,12, FALSE))</f>
        <v>20000</v>
      </c>
      <c r="M13" s="3">
        <f>_xlfn.IFNA(VLOOKUP(Table3[[#This Row],[damId]],Sheet1!$A$2:$T$970,20, FALSE), VLOOKUP(Table3[[#This Row],[dam]],Sheet1!$B$2:$T$970,20, FALSE))*Sheet1!$AD$3</f>
        <v>90328.77</v>
      </c>
      <c r="N13" s="3">
        <f>Table3[[#This Row],[Total 
income (Earnings + value - stud fee)]]-Table3[[#This Row],[Maintenance cost ]]</f>
        <v>95171.23</v>
      </c>
      <c r="O13" s="3">
        <f>SUM(Table3[[#This Row],[income1]:[income12]])</f>
        <v>152500</v>
      </c>
      <c r="P13" s="3">
        <f>_xlfn.IFNA(VLOOKUP(Table3[[#This Row],[damId]],Sheet1!$A$2:$Y$970,23, FALSE), VLOOKUP(Table3[[#This Row],[dam]],Sheet1!$B$2:$Y$970,23, FALSE))*Sheet1!$AD$3</f>
        <v>57328.770000000004</v>
      </c>
      <c r="Q13" s="3">
        <f>SUM(Table3[[#This Row],[earningsInRaces1]:[earningsInRaces12]])</f>
        <v>0</v>
      </c>
      <c r="R13" s="3">
        <f>SUM(Table3[[#This Row],[auctionPrice1]:[auctionPrice12]])</f>
        <v>275000</v>
      </c>
      <c r="S13" s="3">
        <f>SUM(Table3[[#This Row],[studFeeUSD1]:[studFeeUSD12]])</f>
        <v>-122500</v>
      </c>
      <c r="T13" s="7">
        <f>COUNT(Table3[[#This Row],[successfulService1]:[successfulService12]])</f>
        <v>5</v>
      </c>
      <c r="U13" s="7">
        <f>SUM(Table3[[#This Row],[successfulService1]:[successfulService12]])</f>
        <v>4</v>
      </c>
      <c r="V13" s="7">
        <f>SUM(Table3[[#This Row],[soldInAuction1]:[soldInAuction12]])</f>
        <v>4</v>
      </c>
      <c r="W13" s="7">
        <f>SUM(Table3[[#This Row],[foreignHorse1]:[foreignHorse12]])</f>
        <v>0</v>
      </c>
      <c r="X13" s="3">
        <v>-20000</v>
      </c>
      <c r="Y13" s="3">
        <v>150000</v>
      </c>
      <c r="Z13" s="3">
        <v>22500</v>
      </c>
      <c r="AA13" s="3">
        <v>-5000</v>
      </c>
      <c r="AB13" s="3">
        <v>5000</v>
      </c>
      <c r="AC13" s="3"/>
      <c r="AD13" s="3"/>
      <c r="AE13" s="3"/>
      <c r="AF13" s="3"/>
      <c r="AG13" s="3"/>
      <c r="AH13" s="3"/>
      <c r="AI13" s="3"/>
      <c r="AJ13" s="3"/>
      <c r="AK13" s="3">
        <v>0</v>
      </c>
      <c r="AL13" s="3">
        <v>0</v>
      </c>
      <c r="AM13" s="3">
        <v>0</v>
      </c>
      <c r="AN13" s="3"/>
      <c r="AO13" s="3"/>
      <c r="AP13" s="3"/>
      <c r="AQ13" s="3"/>
      <c r="AR13" s="3"/>
      <c r="AS13" s="3"/>
      <c r="AT13" s="3"/>
      <c r="AU13" s="3"/>
      <c r="AV13" s="3"/>
      <c r="AW13" s="3">
        <v>170000</v>
      </c>
      <c r="AX13" s="3">
        <v>40000</v>
      </c>
      <c r="AY13" s="3">
        <v>45000</v>
      </c>
      <c r="AZ13" s="3">
        <v>20000</v>
      </c>
      <c r="BA13" s="3"/>
      <c r="BB13" s="3"/>
      <c r="BC13" s="3"/>
      <c r="BD13" s="3"/>
      <c r="BE13" s="3"/>
      <c r="BF13" s="3"/>
      <c r="BG13" s="3"/>
      <c r="BH13" s="3">
        <v>-20000</v>
      </c>
      <c r="BI13" s="3">
        <v>-20000</v>
      </c>
      <c r="BJ13" s="3">
        <v>-17500</v>
      </c>
      <c r="BK13" s="3">
        <v>-50000</v>
      </c>
      <c r="BL13" s="3">
        <v>-15000</v>
      </c>
      <c r="BM13" s="3"/>
      <c r="BN13" s="3"/>
      <c r="BO13" s="3"/>
      <c r="BP13" s="3"/>
      <c r="BQ13" s="3"/>
      <c r="BR13" s="3"/>
      <c r="BS13" s="3"/>
      <c r="BT13" s="1"/>
      <c r="BU13" s="1">
        <v>0</v>
      </c>
      <c r="BV13" s="1">
        <v>0</v>
      </c>
      <c r="BW13" s="1">
        <v>0</v>
      </c>
      <c r="BX13" s="1"/>
      <c r="BY13" s="1"/>
      <c r="BZ13" s="1"/>
      <c r="CA13" s="1"/>
      <c r="CB13" s="1"/>
      <c r="CC13" s="1"/>
      <c r="CD13" s="1"/>
      <c r="CE13" s="1"/>
      <c r="CF13" s="1">
        <v>0</v>
      </c>
      <c r="CG13" s="1">
        <v>1</v>
      </c>
      <c r="CH13" s="1">
        <v>1</v>
      </c>
      <c r="CI13" s="1">
        <v>1</v>
      </c>
      <c r="CJ13" s="1">
        <v>1</v>
      </c>
      <c r="CK13" s="1"/>
      <c r="CL13" s="1"/>
      <c r="CM13" s="1"/>
      <c r="CN13" s="1"/>
      <c r="CO13" s="1"/>
      <c r="CP13" s="1"/>
      <c r="CQ13" s="1"/>
      <c r="CR13" s="1">
        <v>0</v>
      </c>
      <c r="CS13" s="1">
        <v>1</v>
      </c>
      <c r="CT13" s="1">
        <v>1</v>
      </c>
      <c r="CU13" s="1">
        <v>1</v>
      </c>
      <c r="CV13" s="1">
        <v>1</v>
      </c>
      <c r="CW13" s="1"/>
      <c r="CX13" s="1"/>
      <c r="CY13" s="1"/>
      <c r="CZ13" s="1"/>
      <c r="DA13" s="1"/>
      <c r="DB13" s="1"/>
      <c r="DC13" s="1"/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/>
      <c r="DJ13" s="1"/>
      <c r="DK13" s="1"/>
      <c r="DL13" s="1"/>
      <c r="DM13" s="1"/>
      <c r="DN13" s="1"/>
      <c r="DO13" s="1"/>
      <c r="DP13" s="1">
        <v>1</v>
      </c>
      <c r="DQ13" s="1">
        <v>2</v>
      </c>
      <c r="DR13" s="1">
        <v>3</v>
      </c>
      <c r="DS13" s="1">
        <v>4</v>
      </c>
      <c r="DT13" s="1">
        <v>5</v>
      </c>
      <c r="DU13" s="1"/>
      <c r="DV13" s="1"/>
      <c r="DW13" s="1"/>
      <c r="DX13" s="1"/>
      <c r="DY13" s="1"/>
      <c r="DZ13" s="1"/>
      <c r="EA13" s="1"/>
    </row>
    <row r="14" spans="1:131" x14ac:dyDescent="0.3">
      <c r="A14">
        <v>7179253</v>
      </c>
      <c r="B14" s="1" t="s">
        <v>140</v>
      </c>
      <c r="C14" s="1" t="s">
        <v>24</v>
      </c>
      <c r="D14" s="1">
        <v>2012</v>
      </c>
      <c r="E14" s="1">
        <v>1</v>
      </c>
      <c r="F14" s="10">
        <f>Table3[[#This Row],[First season 
with SF]]+Table3[[#This Row],['# Services 
provided]]</f>
        <v>3</v>
      </c>
      <c r="G14" s="26">
        <f>(Table3[[#This Row],[Total Income 
(Race + Price 
sold + Offs - maintenance cost)]]-Table3[[#This Row],[Price 
Bought]])/Table3[[#This Row],[Price 
Bought]]</f>
        <v>-0.36038808333333339</v>
      </c>
      <c r="H14" s="31">
        <f>Table3[[#This Row],[Race 
earnings]]+Table3[[#This Row],[Price 
Sold]]-Table3[[#This Row],[Maintenance cost]]+Table3[[#This Row],[Total 
profit (Income - cost)]]</f>
        <v>76753.429999999993</v>
      </c>
      <c r="I14" s="3">
        <f>_xlfn.IFNA(VLOOKUP(Table3[[#This Row],[damId]],Sheet1!$A$2:$M$970,5, FALSE), VLOOKUP(Table3[[#This Row],[dam]],Sheet1!$B$2:$M$970,4, FALSE))</f>
        <v>0</v>
      </c>
      <c r="J14" s="3">
        <f>_xlfn.IFNA(VLOOKUP(Table3[[#This Row],[damId]],Sheet1!$A$2:$M$970,13, FALSE), VLOOKUP(Table3[[#This Row],[dam]],Sheet1!$B$2:$M$970,13, FALSE))</f>
        <v>-95000</v>
      </c>
      <c r="K14" s="3">
        <f>_xlfn.IFNA(VLOOKUP(Table3[[#This Row],[damId]],Sheet1!$A$2:$M$970,11, FALSE), VLOOKUP(Table3[[#This Row],[dam]],Sheet1!$B$2:$M$970,11, FALSE))</f>
        <v>120000</v>
      </c>
      <c r="L14" s="3">
        <f>_xlfn.IFNA(VLOOKUP(Table3[[#This Row],[damId]],Sheet1!$A$2:$M$970,12, FALSE), VLOOKUP(Table3[[#This Row],[dam]],Sheet1!$B$2:$M$970,12, FALSE))</f>
        <v>25000</v>
      </c>
      <c r="M14" s="3">
        <f>_xlfn.IFNA(VLOOKUP(Table3[[#This Row],[damId]],Sheet1!$A$2:$T$970,20, FALSE), VLOOKUP(Table3[[#This Row],[dam]],Sheet1!$B$2:$T$970,20, FALSE))*Sheet1!$AD$3</f>
        <v>30000</v>
      </c>
      <c r="N14" s="3">
        <f>Table3[[#This Row],[Total 
income (Earnings + value - stud fee)]]-Table3[[#This Row],[Maintenance cost ]]</f>
        <v>81753.429999999993</v>
      </c>
      <c r="O14" s="3">
        <f>SUM(Table3[[#This Row],[income1]:[income12]])</f>
        <v>127000</v>
      </c>
      <c r="P14" s="3">
        <f>_xlfn.IFNA(VLOOKUP(Table3[[#This Row],[damId]],Sheet1!$A$2:$Y$970,23, FALSE), VLOOKUP(Table3[[#This Row],[dam]],Sheet1!$B$2:$Y$970,23, FALSE))*Sheet1!$AD$3</f>
        <v>45246.57</v>
      </c>
      <c r="Q14" s="3">
        <f>SUM(Table3[[#This Row],[earningsInRaces1]:[earningsInRaces12]])</f>
        <v>0</v>
      </c>
      <c r="R14" s="3">
        <f>SUM(Table3[[#This Row],[auctionPrice1]:[auctionPrice12]])</f>
        <v>142000</v>
      </c>
      <c r="S14" s="3">
        <f>SUM(Table3[[#This Row],[studFeeUSD1]:[studFeeUSD12]])</f>
        <v>-15000</v>
      </c>
      <c r="T14" s="7">
        <f>COUNT(Table3[[#This Row],[successfulService1]:[successfulService12]])</f>
        <v>2</v>
      </c>
      <c r="U14" s="7">
        <f>SUM(Table3[[#This Row],[successfulService1]:[successfulService12]])</f>
        <v>2</v>
      </c>
      <c r="V14" s="7">
        <f>SUM(Table3[[#This Row],[soldInAuction1]:[soldInAuction12]])</f>
        <v>2</v>
      </c>
      <c r="W14" s="7">
        <f>SUM(Table3[[#This Row],[foreignHorse1]:[foreignHorse12]])</f>
        <v>0</v>
      </c>
      <c r="X14" s="3">
        <v>100000</v>
      </c>
      <c r="Y14" s="3">
        <v>27000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>
        <v>0</v>
      </c>
      <c r="AK14" s="3">
        <v>0</v>
      </c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>
        <v>100000</v>
      </c>
      <c r="AW14" s="3">
        <v>42000</v>
      </c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>
        <v>0</v>
      </c>
      <c r="BI14" s="3">
        <v>-15000</v>
      </c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1">
        <v>0</v>
      </c>
      <c r="BU14" s="1">
        <v>0</v>
      </c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>
        <v>1</v>
      </c>
      <c r="CG14" s="1">
        <v>1</v>
      </c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>
        <v>1</v>
      </c>
      <c r="CS14" s="1">
        <v>1</v>
      </c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>
        <v>0</v>
      </c>
      <c r="DE14" s="1">
        <v>0</v>
      </c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>
        <v>1</v>
      </c>
      <c r="DQ14" s="1">
        <v>2</v>
      </c>
      <c r="DR14" s="1"/>
      <c r="DS14" s="1"/>
      <c r="DT14" s="1"/>
      <c r="DU14" s="1"/>
      <c r="DV14" s="1"/>
      <c r="DW14" s="1"/>
      <c r="DX14" s="1"/>
      <c r="DY14" s="1"/>
      <c r="DZ14" s="1"/>
      <c r="EA14" s="1"/>
    </row>
    <row r="15" spans="1:131" x14ac:dyDescent="0.3">
      <c r="A15">
        <v>7265745</v>
      </c>
      <c r="B15" s="1" t="s">
        <v>150</v>
      </c>
      <c r="C15" s="1" t="s">
        <v>139</v>
      </c>
      <c r="D15" s="1">
        <v>2012</v>
      </c>
      <c r="E15" s="1">
        <v>1</v>
      </c>
      <c r="F15" s="10">
        <f>Table3[[#This Row],[First season 
with SF]]+Table3[[#This Row],['# Services 
provided]]</f>
        <v>2</v>
      </c>
      <c r="G15" s="26">
        <f>(Table3[[#This Row],[Total Income 
(Race + Price 
sold + Offs - maintenance cost)]]-Table3[[#This Row],[Price 
Bought]])/Table3[[#This Row],[Price 
Bought]]</f>
        <v>-3.9047052767501929E-2</v>
      </c>
      <c r="H15" s="31">
        <f>Table3[[#This Row],[Race 
earnings]]+Table3[[#This Row],[Price 
Sold]]-Table3[[#This Row],[Maintenance cost]]+Table3[[#This Row],[Total 
profit (Income - cost)]]</f>
        <v>110140.583</v>
      </c>
      <c r="I15" s="3">
        <f>_xlfn.IFNA(VLOOKUP(Table3[[#This Row],[damId]],Sheet1!$A$2:$M$970,5, FALSE), VLOOKUP(Table3[[#This Row],[dam]],Sheet1!$B$2:$M$970,4, FALSE))</f>
        <v>0</v>
      </c>
      <c r="J15" s="3">
        <f>_xlfn.IFNA(VLOOKUP(Table3[[#This Row],[damId]],Sheet1!$A$2:$M$970,13, FALSE), VLOOKUP(Table3[[#This Row],[dam]],Sheet1!$B$2:$M$970,13, FALSE))</f>
        <v>28996</v>
      </c>
      <c r="K15" s="3">
        <f>_xlfn.IFNA(VLOOKUP(Table3[[#This Row],[damId]],Sheet1!$A$2:$M$970,11, FALSE), VLOOKUP(Table3[[#This Row],[dam]],Sheet1!$B$2:$M$970,11, FALSE))</f>
        <v>114616</v>
      </c>
      <c r="L15" s="3">
        <f>_xlfn.IFNA(VLOOKUP(Table3[[#This Row],[damId]],Sheet1!$A$2:$M$970,12, FALSE), VLOOKUP(Table3[[#This Row],[dam]],Sheet1!$B$2:$M$970,12, FALSE))</f>
        <v>143612</v>
      </c>
      <c r="M15" s="3">
        <f>_xlfn.IFNA(VLOOKUP(Table3[[#This Row],[damId]],Sheet1!$A$2:$T$970,20, FALSE), VLOOKUP(Table3[[#This Row],[dam]],Sheet1!$B$2:$T$970,20, FALSE))*Sheet1!$AD$3</f>
        <v>30246.57</v>
      </c>
      <c r="N15" s="3">
        <f>Table3[[#This Row],[Total 
income (Earnings + value - stud fee)]]-Table3[[#This Row],[Maintenance cost ]]</f>
        <v>-3224.8470000000002</v>
      </c>
      <c r="O15" s="3">
        <f>SUM(Table3[[#This Row],[income1]:[income12]])</f>
        <v>-3224.8470000000002</v>
      </c>
      <c r="P15" s="3">
        <f>_xlfn.IFNA(VLOOKUP(Table3[[#This Row],[damId]],Sheet1!$A$2:$Y$970,23, FALSE), VLOOKUP(Table3[[#This Row],[dam]],Sheet1!$B$2:$Y$970,23, FALSE))*Sheet1!$AD$3</f>
        <v>0</v>
      </c>
      <c r="Q15" s="3">
        <f>SUM(Table3[[#This Row],[earningsInRaces1]:[earningsInRaces12]])</f>
        <v>0</v>
      </c>
      <c r="R15" s="3">
        <f>SUM(Table3[[#This Row],[auctionPrice1]:[auctionPrice12]])</f>
        <v>7929</v>
      </c>
      <c r="S15" s="3">
        <f>SUM(Table3[[#This Row],[studFeeUSD1]:[studFeeUSD12]])</f>
        <v>-11153.85</v>
      </c>
      <c r="T15" s="7">
        <f>COUNT(Table3[[#This Row],[successfulService1]:[successfulService12]])</f>
        <v>1</v>
      </c>
      <c r="U15" s="7">
        <f>SUM(Table3[[#This Row],[successfulService1]:[successfulService12]])</f>
        <v>1</v>
      </c>
      <c r="V15" s="7">
        <f>SUM(Table3[[#This Row],[soldInAuction1]:[soldInAuction12]])</f>
        <v>1</v>
      </c>
      <c r="W15" s="7">
        <f>SUM(Table3[[#This Row],[foreignHorse1]:[foreignHorse12]])</f>
        <v>1</v>
      </c>
      <c r="X15" s="3">
        <v>-3224.8470000000002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>
        <v>7929</v>
      </c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>
        <v>-11153.85</v>
      </c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>
        <v>1</v>
      </c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>
        <v>1</v>
      </c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>
        <v>1</v>
      </c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>
        <v>1</v>
      </c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</row>
    <row r="16" spans="1:131" x14ac:dyDescent="0.3">
      <c r="A16">
        <v>7459596</v>
      </c>
      <c r="B16" s="1" t="s">
        <v>167</v>
      </c>
      <c r="C16" s="1" t="s">
        <v>139</v>
      </c>
      <c r="D16" s="1">
        <v>2012</v>
      </c>
      <c r="E16" s="1">
        <v>1</v>
      </c>
      <c r="F16" s="10">
        <f>Table3[[#This Row],[First season 
with SF]]+Table3[[#This Row],['# Services 
provided]]</f>
        <v>2</v>
      </c>
      <c r="G16" s="26">
        <f>(Table3[[#This Row],[Total Income 
(Race + Price 
sold + Offs - maintenance cost)]]-Table3[[#This Row],[Price 
Bought]])/Table3[[#This Row],[Price 
Bought]]</f>
        <v>-2.1180753902439022</v>
      </c>
      <c r="H16" s="31">
        <f>Table3[[#This Row],[Race 
earnings]]+Table3[[#This Row],[Price 
Sold]]-Table3[[#This Row],[Maintenance cost]]+Table3[[#This Row],[Total 
profit (Income - cost)]]</f>
        <v>-229205.45499999999</v>
      </c>
      <c r="I16" s="3">
        <f>_xlfn.IFNA(VLOOKUP(Table3[[#This Row],[damId]],Sheet1!$A$2:$M$970,5, FALSE), VLOOKUP(Table3[[#This Row],[dam]],Sheet1!$B$2:$M$970,4, FALSE))</f>
        <v>0</v>
      </c>
      <c r="J16" s="3">
        <f>_xlfn.IFNA(VLOOKUP(Table3[[#This Row],[damId]],Sheet1!$A$2:$M$970,13, FALSE), VLOOKUP(Table3[[#This Row],[dam]],Sheet1!$B$2:$M$970,13, FALSE))</f>
        <v>-205000</v>
      </c>
      <c r="K16" s="3">
        <f>_xlfn.IFNA(VLOOKUP(Table3[[#This Row],[damId]],Sheet1!$A$2:$M$970,11, FALSE), VLOOKUP(Table3[[#This Row],[dam]],Sheet1!$B$2:$M$970,11, FALSE))</f>
        <v>205000</v>
      </c>
      <c r="L16" s="3">
        <f>_xlfn.IFNA(VLOOKUP(Table3[[#This Row],[damId]],Sheet1!$A$2:$M$970,12, FALSE), VLOOKUP(Table3[[#This Row],[dam]],Sheet1!$B$2:$M$970,12, FALSE))</f>
        <v>0</v>
      </c>
      <c r="M16" s="3">
        <f>_xlfn.IFNA(VLOOKUP(Table3[[#This Row],[damId]],Sheet1!$A$2:$T$970,20, FALSE), VLOOKUP(Table3[[#This Row],[dam]],Sheet1!$B$2:$T$970,20, FALSE))*Sheet1!$AD$3</f>
        <v>214273.94999999998</v>
      </c>
      <c r="N16" s="3">
        <f>Table3[[#This Row],[Total 
income (Earnings + value - stud fee)]]-Table3[[#This Row],[Maintenance cost ]]</f>
        <v>-14931.504999999997</v>
      </c>
      <c r="O16" s="3">
        <f>SUM(Table3[[#This Row],[income1]:[income12]])</f>
        <v>20000</v>
      </c>
      <c r="P16" s="3">
        <f>_xlfn.IFNA(VLOOKUP(Table3[[#This Row],[damId]],Sheet1!$A$2:$Y$970,23, FALSE), VLOOKUP(Table3[[#This Row],[dam]],Sheet1!$B$2:$Y$970,23, FALSE))*Sheet1!$AD$3</f>
        <v>34931.504999999997</v>
      </c>
      <c r="Q16" s="3">
        <f>SUM(Table3[[#This Row],[earningsInRaces1]:[earningsInRaces12]])</f>
        <v>0</v>
      </c>
      <c r="R16" s="3">
        <f>SUM(Table3[[#This Row],[auctionPrice1]:[auctionPrice12]])</f>
        <v>40000</v>
      </c>
      <c r="S16" s="3">
        <f>SUM(Table3[[#This Row],[studFeeUSD1]:[studFeeUSD12]])</f>
        <v>-20000</v>
      </c>
      <c r="T16" s="7">
        <f>COUNT(Table3[[#This Row],[successfulService1]:[successfulService12]])</f>
        <v>1</v>
      </c>
      <c r="U16" s="7">
        <f>SUM(Table3[[#This Row],[successfulService1]:[successfulService12]])</f>
        <v>1</v>
      </c>
      <c r="V16" s="7">
        <f>SUM(Table3[[#This Row],[soldInAuction1]:[soldInAuction12]])</f>
        <v>1</v>
      </c>
      <c r="W16" s="7">
        <f>SUM(Table3[[#This Row],[foreignHorse1]:[foreignHorse12]])</f>
        <v>0</v>
      </c>
      <c r="X16" s="3">
        <v>20000</v>
      </c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>
        <v>0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>
        <v>40000</v>
      </c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>
        <v>-20000</v>
      </c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1">
        <v>0</v>
      </c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>
        <v>1</v>
      </c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>
        <v>1</v>
      </c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>
        <v>0</v>
      </c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>
        <v>1</v>
      </c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</row>
    <row r="17" spans="1:131" x14ac:dyDescent="0.3">
      <c r="A17">
        <v>7543979</v>
      </c>
      <c r="B17" s="1" t="s">
        <v>181</v>
      </c>
      <c r="C17" s="1" t="s">
        <v>139</v>
      </c>
      <c r="D17" s="1">
        <v>2012</v>
      </c>
      <c r="E17" s="1">
        <v>1</v>
      </c>
      <c r="F17" s="10">
        <f>Table3[[#This Row],[First season 
with SF]]+Table3[[#This Row],['# Services 
provided]]</f>
        <v>2</v>
      </c>
      <c r="G17" s="26">
        <f>(Table3[[#This Row],[Total Income 
(Race + Price 
sold + Offs - maintenance cost)]]-Table3[[#This Row],[Price 
Bought]])/Table3[[#This Row],[Price 
Bought]]</f>
        <v>-0.14097501577736604</v>
      </c>
      <c r="H17" s="31">
        <f>Table3[[#This Row],[Race 
earnings]]+Table3[[#This Row],[Price 
Sold]]-Table3[[#This Row],[Maintenance cost]]+Table3[[#This Row],[Total 
profit (Income - cost)]]</f>
        <v>168784.66500000001</v>
      </c>
      <c r="I17" s="3">
        <f>_xlfn.IFNA(VLOOKUP(Table3[[#This Row],[damId]],Sheet1!$A$2:$M$970,5, FALSE), VLOOKUP(Table3[[#This Row],[dam]],Sheet1!$B$2:$M$970,4, FALSE))</f>
        <v>0</v>
      </c>
      <c r="J17" s="3">
        <f>_xlfn.IFNA(VLOOKUP(Table3[[#This Row],[damId]],Sheet1!$A$2:$M$970,13, FALSE), VLOOKUP(Table3[[#This Row],[dam]],Sheet1!$B$2:$M$970,13, FALSE))</f>
        <v>13660</v>
      </c>
      <c r="K17" s="3">
        <f>_xlfn.IFNA(VLOOKUP(Table3[[#This Row],[damId]],Sheet1!$A$2:$M$970,11, FALSE), VLOOKUP(Table3[[#This Row],[dam]],Sheet1!$B$2:$M$970,11, FALSE))</f>
        <v>196484</v>
      </c>
      <c r="L17" s="3">
        <f>_xlfn.IFNA(VLOOKUP(Table3[[#This Row],[damId]],Sheet1!$A$2:$M$970,12, FALSE), VLOOKUP(Table3[[#This Row],[dam]],Sheet1!$B$2:$M$970,12, FALSE))</f>
        <v>210144</v>
      </c>
      <c r="M17" s="3">
        <f>_xlfn.IFNA(VLOOKUP(Table3[[#This Row],[damId]],Sheet1!$A$2:$T$970,20, FALSE), VLOOKUP(Table3[[#This Row],[dam]],Sheet1!$B$2:$T$970,20, FALSE))*Sheet1!$AD$3</f>
        <v>30205.484999999997</v>
      </c>
      <c r="N17" s="3">
        <f>Table3[[#This Row],[Total 
income (Earnings + value - stud fee)]]-Table3[[#This Row],[Maintenance cost ]]</f>
        <v>-11153.85</v>
      </c>
      <c r="O17" s="3">
        <f>SUM(Table3[[#This Row],[income1]:[income12]])</f>
        <v>-11153.85</v>
      </c>
      <c r="P17" s="3">
        <f>_xlfn.IFNA(VLOOKUP(Table3[[#This Row],[damId]],Sheet1!$A$2:$Y$970,23, FALSE), VLOOKUP(Table3[[#This Row],[dam]],Sheet1!$B$2:$Y$970,23, FALSE))*Sheet1!$AD$3</f>
        <v>0</v>
      </c>
      <c r="Q17" s="3">
        <f>SUM(Table3[[#This Row],[earningsInRaces1]:[earningsInRaces12]])</f>
        <v>0</v>
      </c>
      <c r="R17" s="3">
        <f>SUM(Table3[[#This Row],[auctionPrice1]:[auctionPrice12]])</f>
        <v>0</v>
      </c>
      <c r="S17" s="3">
        <f>SUM(Table3[[#This Row],[studFeeUSD1]:[studFeeUSD12]])</f>
        <v>-11153.85</v>
      </c>
      <c r="T17" s="7">
        <f>COUNT(Table3[[#This Row],[successfulService1]:[successfulService12]])</f>
        <v>1</v>
      </c>
      <c r="U17" s="7">
        <f>SUM(Table3[[#This Row],[successfulService1]:[successfulService12]])</f>
        <v>1</v>
      </c>
      <c r="V17" s="7">
        <f>SUM(Table3[[#This Row],[soldInAuction1]:[soldInAuction12]])</f>
        <v>0</v>
      </c>
      <c r="W17" s="7">
        <f>SUM(Table3[[#This Row],[foreignHorse1]:[foreignHorse12]])</f>
        <v>1</v>
      </c>
      <c r="X17" s="3">
        <v>-11153.85</v>
      </c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>
        <v>-11153.85</v>
      </c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>
        <v>1</v>
      </c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>
        <v>0</v>
      </c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>
        <v>1</v>
      </c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>
        <v>1</v>
      </c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</row>
    <row r="18" spans="1:131" x14ac:dyDescent="0.3">
      <c r="A18">
        <v>7693284</v>
      </c>
      <c r="B18" s="1" t="s">
        <v>187</v>
      </c>
      <c r="C18" s="1" t="s">
        <v>139</v>
      </c>
      <c r="D18" s="1">
        <v>2012</v>
      </c>
      <c r="E18" s="1">
        <v>1</v>
      </c>
      <c r="F18" s="10">
        <f>Table3[[#This Row],[First season 
with SF]]+Table3[[#This Row],['# Services 
provided]]</f>
        <v>2</v>
      </c>
      <c r="G18" s="26">
        <f>(Table3[[#This Row],[Total Income 
(Race + Price 
sold + Offs - maintenance cost)]]-Table3[[#This Row],[Price 
Bought]])/Table3[[#This Row],[Price 
Bought]]</f>
        <v>0.55965752499999999</v>
      </c>
      <c r="H18" s="31">
        <f>Table3[[#This Row],[Race 
earnings]]+Table3[[#This Row],[Price 
Sold]]-Table3[[#This Row],[Maintenance cost]]+Table3[[#This Row],[Total 
profit (Income - cost)]]</f>
        <v>311931.505</v>
      </c>
      <c r="I18" s="3">
        <f>_xlfn.IFNA(VLOOKUP(Table3[[#This Row],[damId]],Sheet1!$A$2:$M$970,5, FALSE), VLOOKUP(Table3[[#This Row],[dam]],Sheet1!$B$2:$M$970,4, FALSE))</f>
        <v>0</v>
      </c>
      <c r="J18" s="3">
        <f>_xlfn.IFNA(VLOOKUP(Table3[[#This Row],[damId]],Sheet1!$A$2:$M$970,13, FALSE), VLOOKUP(Table3[[#This Row],[dam]],Sheet1!$B$2:$M$970,13, FALSE))</f>
        <v>160000</v>
      </c>
      <c r="K18" s="3">
        <f>_xlfn.IFNA(VLOOKUP(Table3[[#This Row],[damId]],Sheet1!$A$2:$M$970,11, FALSE), VLOOKUP(Table3[[#This Row],[dam]],Sheet1!$B$2:$M$970,11, FALSE))</f>
        <v>200000</v>
      </c>
      <c r="L18" s="3">
        <f>_xlfn.IFNA(VLOOKUP(Table3[[#This Row],[damId]],Sheet1!$A$2:$M$970,12, FALSE), VLOOKUP(Table3[[#This Row],[dam]],Sheet1!$B$2:$M$970,12, FALSE))</f>
        <v>360000</v>
      </c>
      <c r="M18" s="3">
        <f>_xlfn.IFNA(VLOOKUP(Table3[[#This Row],[damId]],Sheet1!$A$2:$T$970,20, FALSE), VLOOKUP(Table3[[#This Row],[dam]],Sheet1!$B$2:$T$970,20, FALSE))*Sheet1!$AD$3</f>
        <v>30000</v>
      </c>
      <c r="N18" s="3">
        <f>Table3[[#This Row],[Total 
income (Earnings + value - stud fee)]]-Table3[[#This Row],[Maintenance cost ]]</f>
        <v>-18068.494999999999</v>
      </c>
      <c r="O18" s="3">
        <f>SUM(Table3[[#This Row],[income1]:[income12]])</f>
        <v>10000</v>
      </c>
      <c r="P18" s="3">
        <f>_xlfn.IFNA(VLOOKUP(Table3[[#This Row],[damId]],Sheet1!$A$2:$Y$970,23, FALSE), VLOOKUP(Table3[[#This Row],[dam]],Sheet1!$B$2:$Y$970,23, FALSE))*Sheet1!$AD$3</f>
        <v>28068.494999999999</v>
      </c>
      <c r="Q18" s="3">
        <f>SUM(Table3[[#This Row],[earningsInRaces1]:[earningsInRaces12]])</f>
        <v>0</v>
      </c>
      <c r="R18" s="3">
        <f>SUM(Table3[[#This Row],[auctionPrice1]:[auctionPrice12]])</f>
        <v>30000</v>
      </c>
      <c r="S18" s="3">
        <f>SUM(Table3[[#This Row],[studFeeUSD1]:[studFeeUSD12]])</f>
        <v>-20000</v>
      </c>
      <c r="T18" s="7">
        <f>COUNT(Table3[[#This Row],[successfulService1]:[successfulService12]])</f>
        <v>1</v>
      </c>
      <c r="U18" s="7">
        <f>SUM(Table3[[#This Row],[successfulService1]:[successfulService12]])</f>
        <v>1</v>
      </c>
      <c r="V18" s="7">
        <f>SUM(Table3[[#This Row],[soldInAuction1]:[soldInAuction12]])</f>
        <v>1</v>
      </c>
      <c r="W18" s="7">
        <f>SUM(Table3[[#This Row],[foreignHorse1]:[foreignHorse12]])</f>
        <v>0</v>
      </c>
      <c r="X18" s="3">
        <v>10000</v>
      </c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>
        <v>0</v>
      </c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>
        <v>30000</v>
      </c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>
        <v>-20000</v>
      </c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1">
        <v>0</v>
      </c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>
        <v>1</v>
      </c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>
        <v>1</v>
      </c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>
        <v>0</v>
      </c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>
        <v>1</v>
      </c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</row>
    <row r="19" spans="1:131" x14ac:dyDescent="0.3">
      <c r="A19">
        <v>7753394</v>
      </c>
      <c r="B19" s="1" t="s">
        <v>205</v>
      </c>
      <c r="C19" s="1" t="s">
        <v>139</v>
      </c>
      <c r="D19" s="1">
        <v>2012</v>
      </c>
      <c r="E19" s="1">
        <v>1</v>
      </c>
      <c r="F19" s="10">
        <f>Table3[[#This Row],[First season 
with SF]]+Table3[[#This Row],['# Services 
provided]]</f>
        <v>6</v>
      </c>
      <c r="G19" s="26">
        <f>(Table3[[#This Row],[Total Income 
(Race + Price 
sold + Offs - maintenance cost)]]-Table3[[#This Row],[Price 
Bought]])/Table3[[#This Row],[Price 
Bought]]</f>
        <v>1.6258606428571427</v>
      </c>
      <c r="H19" s="31">
        <f>Table3[[#This Row],[Race 
earnings]]+Table3[[#This Row],[Price 
Sold]]-Table3[[#This Row],[Maintenance cost]]+Table3[[#This Row],[Total 
profit (Income - cost)]]</f>
        <v>183810.245</v>
      </c>
      <c r="I19" s="3">
        <f>_xlfn.IFNA(VLOOKUP(Table3[[#This Row],[damId]],Sheet1!$A$2:$M$970,5, FALSE), VLOOKUP(Table3[[#This Row],[dam]],Sheet1!$B$2:$M$970,4, FALSE))</f>
        <v>0</v>
      </c>
      <c r="J19" s="3">
        <f>_xlfn.IFNA(VLOOKUP(Table3[[#This Row],[damId]],Sheet1!$A$2:$M$970,13, FALSE), VLOOKUP(Table3[[#This Row],[dam]],Sheet1!$B$2:$M$970,13, FALSE))</f>
        <v>-52000</v>
      </c>
      <c r="K19" s="3">
        <f>_xlfn.IFNA(VLOOKUP(Table3[[#This Row],[damId]],Sheet1!$A$2:$M$970,11, FALSE), VLOOKUP(Table3[[#This Row],[dam]],Sheet1!$B$2:$M$970,11, FALSE))</f>
        <v>70000</v>
      </c>
      <c r="L19" s="3">
        <f>_xlfn.IFNA(VLOOKUP(Table3[[#This Row],[damId]],Sheet1!$A$2:$M$970,12, FALSE), VLOOKUP(Table3[[#This Row],[dam]],Sheet1!$B$2:$M$970,12, FALSE))</f>
        <v>18000</v>
      </c>
      <c r="M19" s="3">
        <f>_xlfn.IFNA(VLOOKUP(Table3[[#This Row],[damId]],Sheet1!$A$2:$T$970,20, FALSE), VLOOKUP(Table3[[#This Row],[dam]],Sheet1!$B$2:$T$970,20, FALSE))*Sheet1!$AD$3</f>
        <v>89013.705000000002</v>
      </c>
      <c r="N19" s="3">
        <f>Table3[[#This Row],[Total 
income (Earnings + value - stud fee)]]-Table3[[#This Row],[Maintenance cost ]]</f>
        <v>254823.95</v>
      </c>
      <c r="O19" s="3">
        <f>SUM(Table3[[#This Row],[income1]:[income12]])</f>
        <v>448550</v>
      </c>
      <c r="P19" s="3">
        <f>_xlfn.IFNA(VLOOKUP(Table3[[#This Row],[damId]],Sheet1!$A$2:$Y$970,23, FALSE), VLOOKUP(Table3[[#This Row],[dam]],Sheet1!$B$2:$Y$970,23, FALSE))*Sheet1!$AD$3</f>
        <v>193726.05</v>
      </c>
      <c r="Q19" s="3">
        <f>SUM(Table3[[#This Row],[earningsInRaces1]:[earningsInRaces12]])</f>
        <v>126050</v>
      </c>
      <c r="R19" s="3">
        <f>SUM(Table3[[#This Row],[auctionPrice1]:[auctionPrice12]])</f>
        <v>410000</v>
      </c>
      <c r="S19" s="3">
        <f>SUM(Table3[[#This Row],[studFeeUSD1]:[studFeeUSD12]])</f>
        <v>-87500</v>
      </c>
      <c r="T19" s="7">
        <f>COUNT(Table3[[#This Row],[successfulService1]:[successfulService12]])</f>
        <v>5</v>
      </c>
      <c r="U19" s="7">
        <f>SUM(Table3[[#This Row],[successfulService1]:[successfulService12]])</f>
        <v>5</v>
      </c>
      <c r="V19" s="7">
        <f>SUM(Table3[[#This Row],[soldInAuction1]:[soldInAuction12]])</f>
        <v>4</v>
      </c>
      <c r="W19" s="7">
        <f>SUM(Table3[[#This Row],[foreignHorse1]:[foreignHorse12]])</f>
        <v>0</v>
      </c>
      <c r="X19" s="3">
        <v>155000</v>
      </c>
      <c r="Y19" s="3">
        <v>125000</v>
      </c>
      <c r="Z19" s="3">
        <v>55000</v>
      </c>
      <c r="AA19" s="3">
        <v>106050</v>
      </c>
      <c r="AB19" s="3">
        <v>7500</v>
      </c>
      <c r="AC19" s="3"/>
      <c r="AD19" s="3"/>
      <c r="AE19" s="3"/>
      <c r="AF19" s="3"/>
      <c r="AG19" s="3"/>
      <c r="AH19" s="3"/>
      <c r="AI19" s="3"/>
      <c r="AJ19" s="3"/>
      <c r="AK19" s="3">
        <v>0</v>
      </c>
      <c r="AL19" s="3">
        <v>0</v>
      </c>
      <c r="AM19" s="3">
        <v>126050</v>
      </c>
      <c r="AN19" s="3">
        <v>0</v>
      </c>
      <c r="AO19" s="3"/>
      <c r="AP19" s="3"/>
      <c r="AQ19" s="3"/>
      <c r="AR19" s="3"/>
      <c r="AS19" s="3"/>
      <c r="AT19" s="3"/>
      <c r="AU19" s="3"/>
      <c r="AV19" s="3">
        <v>175000</v>
      </c>
      <c r="AW19" s="3">
        <v>140000</v>
      </c>
      <c r="AX19" s="3">
        <v>75000</v>
      </c>
      <c r="AY19" s="3"/>
      <c r="AZ19" s="3">
        <v>20000</v>
      </c>
      <c r="BA19" s="3"/>
      <c r="BB19" s="3"/>
      <c r="BC19" s="3"/>
      <c r="BD19" s="3"/>
      <c r="BE19" s="3"/>
      <c r="BF19" s="3"/>
      <c r="BG19" s="3"/>
      <c r="BH19" s="3">
        <v>-20000</v>
      </c>
      <c r="BI19" s="3">
        <v>-15000</v>
      </c>
      <c r="BJ19" s="3">
        <v>-20000</v>
      </c>
      <c r="BK19" s="3">
        <v>-20000</v>
      </c>
      <c r="BL19" s="3">
        <v>-12500</v>
      </c>
      <c r="BM19" s="3"/>
      <c r="BN19" s="3"/>
      <c r="BO19" s="3"/>
      <c r="BP19" s="3"/>
      <c r="BQ19" s="3"/>
      <c r="BR19" s="3"/>
      <c r="BS19" s="3"/>
      <c r="BT19" s="1"/>
      <c r="BU19" s="1">
        <v>0</v>
      </c>
      <c r="BV19" s="1">
        <v>0</v>
      </c>
      <c r="BW19" s="1">
        <v>1</v>
      </c>
      <c r="BX19" s="1">
        <v>0</v>
      </c>
      <c r="BY19" s="1"/>
      <c r="BZ19" s="1"/>
      <c r="CA19" s="1"/>
      <c r="CB19" s="1"/>
      <c r="CC19" s="1"/>
      <c r="CD19" s="1"/>
      <c r="CE19" s="1"/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/>
      <c r="CL19" s="1"/>
      <c r="CM19" s="1"/>
      <c r="CN19" s="1"/>
      <c r="CO19" s="1"/>
      <c r="CP19" s="1"/>
      <c r="CQ19" s="1"/>
      <c r="CR19" s="1">
        <v>1</v>
      </c>
      <c r="CS19" s="1">
        <v>1</v>
      </c>
      <c r="CT19" s="1">
        <v>1</v>
      </c>
      <c r="CU19" s="1">
        <v>0</v>
      </c>
      <c r="CV19" s="1">
        <v>1</v>
      </c>
      <c r="CW19" s="1"/>
      <c r="CX19" s="1"/>
      <c r="CY19" s="1"/>
      <c r="CZ19" s="1"/>
      <c r="DA19" s="1"/>
      <c r="DB19" s="1"/>
      <c r="DC19" s="1"/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/>
      <c r="DJ19" s="1"/>
      <c r="DK19" s="1"/>
      <c r="DL19" s="1"/>
      <c r="DM19" s="1"/>
      <c r="DN19" s="1"/>
      <c r="DO19" s="1"/>
      <c r="DP19" s="1">
        <v>1</v>
      </c>
      <c r="DQ19" s="1">
        <v>2</v>
      </c>
      <c r="DR19" s="1">
        <v>3</v>
      </c>
      <c r="DS19" s="1">
        <v>4</v>
      </c>
      <c r="DT19" s="1">
        <v>5</v>
      </c>
      <c r="DU19" s="1"/>
      <c r="DV19" s="1"/>
      <c r="DW19" s="1"/>
      <c r="DX19" s="1"/>
      <c r="DY19" s="1"/>
      <c r="DZ19" s="1"/>
      <c r="EA19" s="1"/>
    </row>
    <row r="20" spans="1:131" x14ac:dyDescent="0.3">
      <c r="A20">
        <v>7760304</v>
      </c>
      <c r="B20" s="1" t="s">
        <v>209</v>
      </c>
      <c r="C20" s="1" t="s">
        <v>139</v>
      </c>
      <c r="D20" s="1">
        <v>2012</v>
      </c>
      <c r="E20" s="1">
        <v>1</v>
      </c>
      <c r="F20" s="10">
        <f>Table3[[#This Row],[First season 
with SF]]+Table3[[#This Row],['# Services 
provided]]</f>
        <v>3</v>
      </c>
      <c r="G20" s="26">
        <f>(Table3[[#This Row],[Total Income 
(Race + Price 
sold + Offs - maintenance cost)]]-Table3[[#This Row],[Price 
Bought]])/Table3[[#This Row],[Price 
Bought]]</f>
        <v>1.2758355999999997</v>
      </c>
      <c r="H20" s="31">
        <f>Table3[[#This Row],[Race 
earnings]]+Table3[[#This Row],[Price 
Sold]]-Table3[[#This Row],[Maintenance cost]]+Table3[[#This Row],[Total 
profit (Income - cost)]]</f>
        <v>284479.44999999995</v>
      </c>
      <c r="I20" s="3">
        <f>_xlfn.IFNA(VLOOKUP(Table3[[#This Row],[damId]],Sheet1!$A$2:$M$970,5, FALSE), VLOOKUP(Table3[[#This Row],[dam]],Sheet1!$B$2:$M$970,4, FALSE))</f>
        <v>0</v>
      </c>
      <c r="J20" s="3">
        <f>_xlfn.IFNA(VLOOKUP(Table3[[#This Row],[damId]],Sheet1!$A$2:$M$970,13, FALSE), VLOOKUP(Table3[[#This Row],[dam]],Sheet1!$B$2:$M$970,13, FALSE))</f>
        <v>95000</v>
      </c>
      <c r="K20" s="3">
        <f>_xlfn.IFNA(VLOOKUP(Table3[[#This Row],[damId]],Sheet1!$A$2:$M$970,11, FALSE), VLOOKUP(Table3[[#This Row],[dam]],Sheet1!$B$2:$M$970,11, FALSE))</f>
        <v>125000</v>
      </c>
      <c r="L20" s="3">
        <f>_xlfn.IFNA(VLOOKUP(Table3[[#This Row],[damId]],Sheet1!$A$2:$M$970,12, FALSE), VLOOKUP(Table3[[#This Row],[dam]],Sheet1!$B$2:$M$970,12, FALSE))</f>
        <v>220000</v>
      </c>
      <c r="M20" s="3">
        <f>_xlfn.IFNA(VLOOKUP(Table3[[#This Row],[damId]],Sheet1!$A$2:$T$970,20, FALSE), VLOOKUP(Table3[[#This Row],[dam]],Sheet1!$B$2:$T$970,20, FALSE))*Sheet1!$AD$3</f>
        <v>45041.100000000006</v>
      </c>
      <c r="N20" s="3">
        <f>Table3[[#This Row],[Total 
income (Earnings + value - stud fee)]]-Table3[[#This Row],[Maintenance cost ]]</f>
        <v>109520.54999999999</v>
      </c>
      <c r="O20" s="3">
        <f>SUM(Table3[[#This Row],[income1]:[income12]])</f>
        <v>150000</v>
      </c>
      <c r="P20" s="3">
        <f>_xlfn.IFNA(VLOOKUP(Table3[[#This Row],[damId]],Sheet1!$A$2:$Y$970,23, FALSE), VLOOKUP(Table3[[#This Row],[dam]],Sheet1!$B$2:$Y$970,23, FALSE))*Sheet1!$AD$3</f>
        <v>40479.450000000004</v>
      </c>
      <c r="Q20" s="3">
        <f>SUM(Table3[[#This Row],[earningsInRaces1]:[earningsInRaces12]])</f>
        <v>0</v>
      </c>
      <c r="R20" s="3">
        <f>SUM(Table3[[#This Row],[auctionPrice1]:[auctionPrice12]])</f>
        <v>185000</v>
      </c>
      <c r="S20" s="3">
        <f>SUM(Table3[[#This Row],[studFeeUSD1]:[studFeeUSD12]])</f>
        <v>-35000</v>
      </c>
      <c r="T20" s="7">
        <f>COUNT(Table3[[#This Row],[successfulService1]:[successfulService12]])</f>
        <v>2</v>
      </c>
      <c r="U20" s="7">
        <f>SUM(Table3[[#This Row],[successfulService1]:[successfulService12]])</f>
        <v>2</v>
      </c>
      <c r="V20" s="7">
        <f>SUM(Table3[[#This Row],[soldInAuction1]:[soldInAuction12]])</f>
        <v>2</v>
      </c>
      <c r="W20" s="7">
        <f>SUM(Table3[[#This Row],[foreignHorse1]:[foreignHorse12]])</f>
        <v>0</v>
      </c>
      <c r="X20" s="3">
        <v>85000</v>
      </c>
      <c r="Y20" s="3">
        <v>65000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>
        <v>0</v>
      </c>
      <c r="AK20" s="3">
        <v>0</v>
      </c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>
        <v>105000</v>
      </c>
      <c r="AW20" s="3">
        <v>80000</v>
      </c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>
        <v>-20000</v>
      </c>
      <c r="BI20" s="3">
        <v>-15000</v>
      </c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1">
        <v>0</v>
      </c>
      <c r="BU20" s="1">
        <v>0</v>
      </c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>
        <v>1</v>
      </c>
      <c r="CG20" s="1">
        <v>1</v>
      </c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>
        <v>1</v>
      </c>
      <c r="CS20" s="1">
        <v>1</v>
      </c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>
        <v>0</v>
      </c>
      <c r="DE20" s="1">
        <v>0</v>
      </c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>
        <v>1</v>
      </c>
      <c r="DQ20" s="1">
        <v>2</v>
      </c>
      <c r="DR20" s="1"/>
      <c r="DS20" s="1"/>
      <c r="DT20" s="1"/>
      <c r="DU20" s="1"/>
      <c r="DV20" s="1"/>
      <c r="DW20" s="1"/>
      <c r="DX20" s="1"/>
      <c r="DY20" s="1"/>
      <c r="DZ20" s="1"/>
      <c r="EA20" s="1"/>
    </row>
    <row r="21" spans="1:131" x14ac:dyDescent="0.3">
      <c r="A21">
        <v>8047971</v>
      </c>
      <c r="B21" s="1" t="s">
        <v>236</v>
      </c>
      <c r="C21" s="1" t="s">
        <v>24</v>
      </c>
      <c r="D21" s="1">
        <v>2012</v>
      </c>
      <c r="E21" s="1">
        <v>1</v>
      </c>
      <c r="F21" s="10">
        <f>Table3[[#This Row],[First season 
with SF]]+Table3[[#This Row],['# Services 
provided]]</f>
        <v>3</v>
      </c>
      <c r="G21" s="26">
        <f>(Table3[[#This Row],[Total Income 
(Race + Price 
sold + Offs - maintenance cost)]]-Table3[[#This Row],[Price 
Bought]])/Table3[[#This Row],[Price 
Bought]]</f>
        <v>-3.5029335714285639E-2</v>
      </c>
      <c r="H21" s="31">
        <f>Table3[[#This Row],[Race 
earnings]]+Table3[[#This Row],[Price 
Sold]]-Table3[[#This Row],[Maintenance cost]]+Table3[[#This Row],[Total 
profit (Income - cost)]]</f>
        <v>67547.946500000005</v>
      </c>
      <c r="I21" s="3">
        <f>_xlfn.IFNA(VLOOKUP(Table3[[#This Row],[damId]],Sheet1!$A$2:$M$970,5, FALSE), VLOOKUP(Table3[[#This Row],[dam]],Sheet1!$B$2:$M$970,4, FALSE))</f>
        <v>0</v>
      </c>
      <c r="J21" s="3">
        <f>_xlfn.IFNA(VLOOKUP(Table3[[#This Row],[damId]],Sheet1!$A$2:$M$970,13, FALSE), VLOOKUP(Table3[[#This Row],[dam]],Sheet1!$B$2:$M$970,13, FALSE))</f>
        <v>-30000</v>
      </c>
      <c r="K21" s="3">
        <f>_xlfn.IFNA(VLOOKUP(Table3[[#This Row],[damId]],Sheet1!$A$2:$M$970,11, FALSE), VLOOKUP(Table3[[#This Row],[dam]],Sheet1!$B$2:$M$970,11, FALSE))</f>
        <v>70000</v>
      </c>
      <c r="L21" s="3">
        <f>_xlfn.IFNA(VLOOKUP(Table3[[#This Row],[damId]],Sheet1!$A$2:$M$970,12, FALSE), VLOOKUP(Table3[[#This Row],[dam]],Sheet1!$B$2:$M$970,12, FALSE))</f>
        <v>40000</v>
      </c>
      <c r="M21" s="3">
        <f>_xlfn.IFNA(VLOOKUP(Table3[[#This Row],[damId]],Sheet1!$A$2:$T$970,20, FALSE), VLOOKUP(Table3[[#This Row],[dam]],Sheet1!$B$2:$T$970,20, FALSE))*Sheet1!$AD$3</f>
        <v>17383.559999999998</v>
      </c>
      <c r="N21" s="3">
        <f>Table3[[#This Row],[Total 
income (Earnings + value - stud fee)]]-Table3[[#This Row],[Maintenance cost ]]</f>
        <v>44931.506500000003</v>
      </c>
      <c r="O21" s="3">
        <f>SUM(Table3[[#This Row],[income1]:[income12]])</f>
        <v>55000</v>
      </c>
      <c r="P21" s="3">
        <f>_xlfn.IFNA(VLOOKUP(Table3[[#This Row],[damId]],Sheet1!$A$2:$Y$970,23, FALSE), VLOOKUP(Table3[[#This Row],[dam]],Sheet1!$B$2:$Y$970,23, FALSE))*Sheet1!$AD$3</f>
        <v>10068.4935</v>
      </c>
      <c r="Q21" s="3">
        <f>SUM(Table3[[#This Row],[earningsInRaces1]:[earningsInRaces12]])</f>
        <v>0</v>
      </c>
      <c r="R21" s="3">
        <f>SUM(Table3[[#This Row],[auctionPrice1]:[auctionPrice12]])</f>
        <v>75000</v>
      </c>
      <c r="S21" s="3">
        <f>SUM(Table3[[#This Row],[studFeeUSD1]:[studFeeUSD12]])</f>
        <v>-20000</v>
      </c>
      <c r="T21" s="7">
        <f>COUNT(Table3[[#This Row],[successfulService1]:[successfulService12]])</f>
        <v>2</v>
      </c>
      <c r="U21" s="7">
        <f>SUM(Table3[[#This Row],[successfulService1]:[successfulService12]])</f>
        <v>2</v>
      </c>
      <c r="V21" s="7">
        <f>SUM(Table3[[#This Row],[soldInAuction1]:[soldInAuction12]])</f>
        <v>1</v>
      </c>
      <c r="W21" s="7">
        <f>SUM(Table3[[#This Row],[foreignHorse1]:[foreignHorse12]])</f>
        <v>0</v>
      </c>
      <c r="X21" s="3">
        <v>75000</v>
      </c>
      <c r="Y21" s="3">
        <v>-20000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>
        <v>0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>
        <v>75000</v>
      </c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>
        <v>0</v>
      </c>
      <c r="BI21" s="3">
        <v>-20000</v>
      </c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1">
        <v>0</v>
      </c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>
        <v>1</v>
      </c>
      <c r="CG21" s="1">
        <v>1</v>
      </c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>
        <v>1</v>
      </c>
      <c r="CS21" s="1">
        <v>0</v>
      </c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>
        <v>0</v>
      </c>
      <c r="DE21" s="1">
        <v>0</v>
      </c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>
        <v>1</v>
      </c>
      <c r="DQ21" s="1">
        <v>2</v>
      </c>
      <c r="DR21" s="1"/>
      <c r="DS21" s="1"/>
      <c r="DT21" s="1"/>
      <c r="DU21" s="1"/>
      <c r="DV21" s="1"/>
      <c r="DW21" s="1"/>
      <c r="DX21" s="1"/>
      <c r="DY21" s="1"/>
      <c r="DZ21" s="1"/>
      <c r="EA21" s="1"/>
    </row>
    <row r="22" spans="1:131" x14ac:dyDescent="0.3">
      <c r="A22">
        <v>8094866</v>
      </c>
      <c r="B22" s="1" t="s">
        <v>250</v>
      </c>
      <c r="C22" s="1" t="s">
        <v>24</v>
      </c>
      <c r="D22" s="1">
        <v>2012</v>
      </c>
      <c r="E22" s="1">
        <v>1</v>
      </c>
      <c r="F22" s="10">
        <f>Table3[[#This Row],[First season 
with SF]]+Table3[[#This Row],['# Services 
provided]]</f>
        <v>3</v>
      </c>
      <c r="G22" s="26">
        <f>(Table3[[#This Row],[Total Income 
(Race + Price 
sold + Offs - maintenance cost)]]-Table3[[#This Row],[Price 
Bought]])/Table3[[#This Row],[Price 
Bought]]</f>
        <v>2.2708475937500001</v>
      </c>
      <c r="H22" s="31">
        <f>Table3[[#This Row],[Race 
earnings]]+Table3[[#This Row],[Price 
Sold]]-Table3[[#This Row],[Maintenance cost]]+Table3[[#This Row],[Total 
profit (Income - cost)]]</f>
        <v>523335.61499999999</v>
      </c>
      <c r="I22" s="3">
        <f>_xlfn.IFNA(VLOOKUP(Table3[[#This Row],[damId]],Sheet1!$A$2:$M$970,5, FALSE), VLOOKUP(Table3[[#This Row],[dam]],Sheet1!$B$2:$M$970,4, FALSE))</f>
        <v>0</v>
      </c>
      <c r="J22" s="3">
        <f>_xlfn.IFNA(VLOOKUP(Table3[[#This Row],[damId]],Sheet1!$A$2:$M$970,13, FALSE), VLOOKUP(Table3[[#This Row],[dam]],Sheet1!$B$2:$M$970,13, FALSE))</f>
        <v>-67500</v>
      </c>
      <c r="K22" s="3">
        <f>_xlfn.IFNA(VLOOKUP(Table3[[#This Row],[damId]],Sheet1!$A$2:$M$970,11, FALSE), VLOOKUP(Table3[[#This Row],[dam]],Sheet1!$B$2:$M$970,11, FALSE))</f>
        <v>160000</v>
      </c>
      <c r="L22" s="3">
        <f>_xlfn.IFNA(VLOOKUP(Table3[[#This Row],[damId]],Sheet1!$A$2:$M$970,12, FALSE), VLOOKUP(Table3[[#This Row],[dam]],Sheet1!$B$2:$M$970,12, FALSE))</f>
        <v>92500</v>
      </c>
      <c r="M22" s="3">
        <f>_xlfn.IFNA(VLOOKUP(Table3[[#This Row],[damId]],Sheet1!$A$2:$T$970,20, FALSE), VLOOKUP(Table3[[#This Row],[dam]],Sheet1!$B$2:$T$970,20, FALSE))*Sheet1!$AD$3</f>
        <v>17465.760000000002</v>
      </c>
      <c r="N22" s="3">
        <f>Table3[[#This Row],[Total 
income (Earnings + value - stud fee)]]-Table3[[#This Row],[Maintenance cost ]]</f>
        <v>448301.375</v>
      </c>
      <c r="O22" s="3">
        <f>SUM(Table3[[#This Row],[income1]:[income12]])</f>
        <v>470000</v>
      </c>
      <c r="P22" s="3">
        <f>_xlfn.IFNA(VLOOKUP(Table3[[#This Row],[damId]],Sheet1!$A$2:$Y$970,23, FALSE), VLOOKUP(Table3[[#This Row],[dam]],Sheet1!$B$2:$Y$970,23, FALSE))*Sheet1!$AD$3</f>
        <v>21698.625</v>
      </c>
      <c r="Q22" s="3">
        <f>SUM(Table3[[#This Row],[earningsInRaces1]:[earningsInRaces12]])</f>
        <v>0</v>
      </c>
      <c r="R22" s="3">
        <f>SUM(Table3[[#This Row],[auctionPrice1]:[auctionPrice12]])</f>
        <v>490000</v>
      </c>
      <c r="S22" s="3">
        <f>SUM(Table3[[#This Row],[studFeeUSD1]:[studFeeUSD12]])</f>
        <v>-20000</v>
      </c>
      <c r="T22" s="7">
        <f>COUNT(Table3[[#This Row],[successfulService1]:[successfulService12]])</f>
        <v>2</v>
      </c>
      <c r="U22" s="7">
        <f>SUM(Table3[[#This Row],[successfulService1]:[successfulService12]])</f>
        <v>2</v>
      </c>
      <c r="V22" s="7">
        <f>SUM(Table3[[#This Row],[soldInAuction1]:[soldInAuction12]])</f>
        <v>2</v>
      </c>
      <c r="W22" s="7">
        <f>SUM(Table3[[#This Row],[foreignHorse1]:[foreignHorse12]])</f>
        <v>0</v>
      </c>
      <c r="X22" s="3">
        <v>300000</v>
      </c>
      <c r="Y22" s="3">
        <v>170000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>
        <v>0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>
        <v>300000</v>
      </c>
      <c r="AW22" s="3">
        <v>190000</v>
      </c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>
        <v>0</v>
      </c>
      <c r="BI22" s="3">
        <v>-20000</v>
      </c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1">
        <v>0</v>
      </c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>
        <v>1</v>
      </c>
      <c r="CG22" s="1">
        <v>1</v>
      </c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>
        <v>1</v>
      </c>
      <c r="CS22" s="1">
        <v>1</v>
      </c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>
        <v>0</v>
      </c>
      <c r="DE22" s="1">
        <v>0</v>
      </c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>
        <v>1</v>
      </c>
      <c r="DQ22" s="1">
        <v>2</v>
      </c>
      <c r="DR22" s="1"/>
      <c r="DS22" s="1"/>
      <c r="DT22" s="1"/>
      <c r="DU22" s="1"/>
      <c r="DV22" s="1"/>
      <c r="DW22" s="1"/>
      <c r="DX22" s="1"/>
      <c r="DY22" s="1"/>
      <c r="DZ22" s="1"/>
      <c r="EA22" s="1"/>
    </row>
    <row r="23" spans="1:131" x14ac:dyDescent="0.3">
      <c r="A23">
        <v>1433178</v>
      </c>
      <c r="B23" s="1" t="s">
        <v>22</v>
      </c>
      <c r="C23" s="1" t="s">
        <v>24</v>
      </c>
      <c r="D23" s="1">
        <v>2013</v>
      </c>
      <c r="E23" s="1">
        <v>16</v>
      </c>
      <c r="F23" s="10">
        <f>Table3[[#This Row],[First season 
with SF]]+Table3[[#This Row],['# Services 
provided]]</f>
        <v>21</v>
      </c>
      <c r="G23" s="26">
        <f>(Table3[[#This Row],[Total Income 
(Race + Price 
sold + Offs - maintenance cost)]]-Table3[[#This Row],[Price 
Bought]])/Table3[[#This Row],[Price 
Bought]]</f>
        <v>3.1779000000000002</v>
      </c>
      <c r="H23" s="31">
        <f>Table3[[#This Row],[Race 
earnings]]+Table3[[#This Row],[Price 
Sold]]-Table3[[#This Row],[Maintenance cost]]+Table3[[#This Row],[Total 
profit (Income - cost)]]</f>
        <v>417790</v>
      </c>
      <c r="I23" s="3">
        <f>_xlfn.IFNA(VLOOKUP(Table3[[#This Row],[damId]],Sheet1!$A$2:$M$970,5, FALSE), VLOOKUP(Table3[[#This Row],[dam]],Sheet1!$B$2:$M$970,4, FALSE))</f>
        <v>0</v>
      </c>
      <c r="J23" s="3">
        <f>_xlfn.IFNA(VLOOKUP(Table3[[#This Row],[damId]],Sheet1!$A$2:$M$970,13, FALSE), VLOOKUP(Table3[[#This Row],[dam]],Sheet1!$B$2:$M$970,13, FALSE))</f>
        <v>-100000</v>
      </c>
      <c r="K23" s="3">
        <f>_xlfn.IFNA(VLOOKUP(Table3[[#This Row],[damId]],Sheet1!$A$2:$M$970,11, FALSE), VLOOKUP(Table3[[#This Row],[dam]],Sheet1!$B$2:$M$970,11, FALSE))</f>
        <v>100000</v>
      </c>
      <c r="L23" s="3">
        <f>_xlfn.IFNA(VLOOKUP(Table3[[#This Row],[damId]],Sheet1!$A$2:$M$970,12, FALSE), VLOOKUP(Table3[[#This Row],[dam]],Sheet1!$B$2:$M$970,12, FALSE))</f>
        <v>0</v>
      </c>
      <c r="M23" s="3">
        <f>_xlfn.IFNA(VLOOKUP(Table3[[#This Row],[damId]],Sheet1!$A$2:$T$970,20, FALSE), VLOOKUP(Table3[[#This Row],[dam]],Sheet1!$B$2:$T$970,20, FALSE))*Sheet1!$AD$3</f>
        <v>184150.65</v>
      </c>
      <c r="N23" s="3">
        <f>Table3[[#This Row],[Total 
income (Earnings + value - stud fee)]]-Table3[[#This Row],[Maintenance cost ]]</f>
        <v>601940.65</v>
      </c>
      <c r="O23" s="3">
        <f>SUM(Table3[[#This Row],[income1]:[income12]])</f>
        <v>759790</v>
      </c>
      <c r="P23" s="3">
        <f>_xlfn.IFNA(VLOOKUP(Table3[[#This Row],[damId]],Sheet1!$A$2:$Y$970,23, FALSE), VLOOKUP(Table3[[#This Row],[dam]],Sheet1!$B$2:$Y$970,23, FALSE))*Sheet1!$AD$3</f>
        <v>157849.34999999998</v>
      </c>
      <c r="Q23" s="3">
        <f>SUM(Table3[[#This Row],[earningsInRaces1]:[earningsInRaces12]])</f>
        <v>45290</v>
      </c>
      <c r="R23" s="3">
        <f>SUM(Table3[[#This Row],[auctionPrice1]:[auctionPrice12]])</f>
        <v>927000</v>
      </c>
      <c r="S23" s="3">
        <f>SUM(Table3[[#This Row],[studFeeUSD1]:[studFeeUSD12]])</f>
        <v>-212500</v>
      </c>
      <c r="T23" s="7">
        <f>COUNT(Table3[[#This Row],[successfulService1]:[successfulService12]])</f>
        <v>5</v>
      </c>
      <c r="U23" s="7">
        <f>SUM(Table3[[#This Row],[successfulService1]:[successfulService12]])</f>
        <v>3</v>
      </c>
      <c r="V23" s="7">
        <f>SUM(Table3[[#This Row],[soldInAuction1]:[soldInAuction12]])</f>
        <v>3</v>
      </c>
      <c r="W23" s="7">
        <f>SUM(Table3[[#This Row],[foreignHorse1]:[foreignHorse12]])</f>
        <v>0</v>
      </c>
      <c r="X23" s="3">
        <v>42000</v>
      </c>
      <c r="Y23" s="3">
        <v>-60000</v>
      </c>
      <c r="Z23" s="3">
        <v>573900</v>
      </c>
      <c r="AA23" s="3">
        <v>328890</v>
      </c>
      <c r="AB23" s="3">
        <v>-125000</v>
      </c>
      <c r="AC23" s="3"/>
      <c r="AD23" s="3"/>
      <c r="AE23" s="3"/>
      <c r="AF23" s="3"/>
      <c r="AG23" s="3"/>
      <c r="AH23" s="3"/>
      <c r="AI23" s="3"/>
      <c r="AJ23" s="3">
        <v>0</v>
      </c>
      <c r="AK23" s="3"/>
      <c r="AL23" s="3">
        <v>38900</v>
      </c>
      <c r="AM23" s="3">
        <v>6390</v>
      </c>
      <c r="AN23" s="3"/>
      <c r="AO23" s="3"/>
      <c r="AP23" s="3"/>
      <c r="AQ23" s="3"/>
      <c r="AR23" s="3"/>
      <c r="AS23" s="3"/>
      <c r="AT23" s="3"/>
      <c r="AU23" s="3"/>
      <c r="AV23" s="3">
        <v>42000</v>
      </c>
      <c r="AW23" s="3"/>
      <c r="AX23" s="3">
        <v>550000</v>
      </c>
      <c r="AY23" s="3">
        <v>335000</v>
      </c>
      <c r="AZ23" s="3"/>
      <c r="BA23" s="3"/>
      <c r="BB23" s="3"/>
      <c r="BC23" s="3"/>
      <c r="BD23" s="3"/>
      <c r="BE23" s="3"/>
      <c r="BF23" s="3"/>
      <c r="BG23" s="3"/>
      <c r="BH23" s="3">
        <v>0</v>
      </c>
      <c r="BI23" s="3">
        <v>-60000</v>
      </c>
      <c r="BJ23" s="3">
        <v>-15000</v>
      </c>
      <c r="BK23" s="3">
        <v>-12500</v>
      </c>
      <c r="BL23" s="3">
        <v>-125000</v>
      </c>
      <c r="BM23" s="3"/>
      <c r="BN23" s="3"/>
      <c r="BO23" s="3"/>
      <c r="BP23" s="3"/>
      <c r="BQ23" s="3"/>
      <c r="BR23" s="3"/>
      <c r="BS23" s="3"/>
      <c r="BT23" s="1">
        <v>0</v>
      </c>
      <c r="BU23" s="1"/>
      <c r="BV23" s="1">
        <v>1</v>
      </c>
      <c r="BW23" s="1">
        <v>1</v>
      </c>
      <c r="BX23" s="1"/>
      <c r="BY23" s="1"/>
      <c r="BZ23" s="1"/>
      <c r="CA23" s="1"/>
      <c r="CB23" s="1"/>
      <c r="CC23" s="1"/>
      <c r="CD23" s="1"/>
      <c r="CE23" s="1"/>
      <c r="CF23" s="1">
        <v>1</v>
      </c>
      <c r="CG23" s="1">
        <v>0</v>
      </c>
      <c r="CH23" s="1">
        <v>1</v>
      </c>
      <c r="CI23" s="1">
        <v>1</v>
      </c>
      <c r="CJ23" s="1">
        <v>0</v>
      </c>
      <c r="CK23" s="1"/>
      <c r="CL23" s="1"/>
      <c r="CM23" s="1"/>
      <c r="CN23" s="1"/>
      <c r="CO23" s="1"/>
      <c r="CP23" s="1"/>
      <c r="CQ23" s="1"/>
      <c r="CR23" s="1">
        <v>1</v>
      </c>
      <c r="CS23" s="1">
        <v>0</v>
      </c>
      <c r="CT23" s="1">
        <v>1</v>
      </c>
      <c r="CU23" s="1">
        <v>1</v>
      </c>
      <c r="CV23" s="1">
        <v>0</v>
      </c>
      <c r="CW23" s="1"/>
      <c r="CX23" s="1"/>
      <c r="CY23" s="1"/>
      <c r="CZ23" s="1"/>
      <c r="DA23" s="1"/>
      <c r="DB23" s="1"/>
      <c r="DC23" s="1"/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/>
      <c r="DJ23" s="1"/>
      <c r="DK23" s="1"/>
      <c r="DL23" s="1"/>
      <c r="DM23" s="1"/>
      <c r="DN23" s="1"/>
      <c r="DO23" s="1"/>
      <c r="DP23" s="1">
        <v>16</v>
      </c>
      <c r="DQ23" s="1">
        <v>17</v>
      </c>
      <c r="DR23" s="1">
        <v>18</v>
      </c>
      <c r="DS23" s="1">
        <v>19</v>
      </c>
      <c r="DT23" s="1">
        <v>20</v>
      </c>
      <c r="DU23" s="1"/>
      <c r="DV23" s="1"/>
      <c r="DW23" s="1"/>
      <c r="DX23" s="1"/>
      <c r="DY23" s="1"/>
      <c r="DZ23" s="1"/>
      <c r="EA23" s="1"/>
    </row>
    <row r="24" spans="1:131" x14ac:dyDescent="0.3">
      <c r="A24">
        <v>1692831</v>
      </c>
      <c r="B24" s="1" t="s">
        <v>28</v>
      </c>
      <c r="C24" s="1" t="s">
        <v>24</v>
      </c>
      <c r="D24" s="1">
        <v>2013</v>
      </c>
      <c r="E24" s="1">
        <v>14</v>
      </c>
      <c r="F24" s="10">
        <f>Table3[[#This Row],[First season 
with SF]]+Table3[[#This Row],['# Services 
provided]]</f>
        <v>17</v>
      </c>
      <c r="G24" s="26">
        <f>(Table3[[#This Row],[Total Income 
(Race + Price 
sold + Offs - maintenance cost)]]-Table3[[#This Row],[Price 
Bought]])/Table3[[#This Row],[Price 
Bought]]</f>
        <v>-2.8279575020358307</v>
      </c>
      <c r="H24" s="31">
        <f>Table3[[#This Row],[Race 
earnings]]+Table3[[#This Row],[Price 
Sold]]-Table3[[#This Row],[Maintenance cost]]+Table3[[#This Row],[Total 
profit (Income - cost)]]</f>
        <v>-35915.709000000003</v>
      </c>
      <c r="I24" s="3">
        <f>_xlfn.IFNA(VLOOKUP(Table3[[#This Row],[damId]],Sheet1!$A$2:$M$970,5, FALSE), VLOOKUP(Table3[[#This Row],[dam]],Sheet1!$B$2:$M$970,4, FALSE))</f>
        <v>0</v>
      </c>
      <c r="J24" s="3">
        <f>_xlfn.IFNA(VLOOKUP(Table3[[#This Row],[damId]],Sheet1!$A$2:$M$970,13, FALSE), VLOOKUP(Table3[[#This Row],[dam]],Sheet1!$B$2:$M$970,13, FALSE))</f>
        <v>-19648</v>
      </c>
      <c r="K24" s="3">
        <f>_xlfn.IFNA(VLOOKUP(Table3[[#This Row],[damId]],Sheet1!$A$2:$M$970,11, FALSE), VLOOKUP(Table3[[#This Row],[dam]],Sheet1!$B$2:$M$970,11, FALSE))</f>
        <v>19648</v>
      </c>
      <c r="L24" s="3">
        <f>_xlfn.IFNA(VLOOKUP(Table3[[#This Row],[damId]],Sheet1!$A$2:$M$970,12, FALSE), VLOOKUP(Table3[[#This Row],[dam]],Sheet1!$B$2:$M$970,12, FALSE))</f>
        <v>0</v>
      </c>
      <c r="M24" s="3">
        <f>_xlfn.IFNA(VLOOKUP(Table3[[#This Row],[damId]],Sheet1!$A$2:$T$970,20, FALSE), VLOOKUP(Table3[[#This Row],[dam]],Sheet1!$B$2:$T$970,20, FALSE))*Sheet1!$AD$3</f>
        <v>213452.1</v>
      </c>
      <c r="N24" s="3">
        <f>Table3[[#This Row],[Total 
income (Earnings + value - stud fee)]]-Table3[[#This Row],[Maintenance cost ]]</f>
        <v>177536.391</v>
      </c>
      <c r="O24" s="3">
        <f>SUM(Table3[[#This Row],[income1]:[income12]])</f>
        <v>177536.391</v>
      </c>
      <c r="P24" s="3">
        <f>_xlfn.IFNA(VLOOKUP(Table3[[#This Row],[damId]],Sheet1!$A$2:$Y$970,23, FALSE), VLOOKUP(Table3[[#This Row],[dam]],Sheet1!$B$2:$Y$970,23, FALSE))*Sheet1!$AD$3</f>
        <v>0</v>
      </c>
      <c r="Q24" s="3">
        <f>SUM(Table3[[#This Row],[earningsInRaces1]:[earningsInRaces12]])</f>
        <v>0</v>
      </c>
      <c r="R24" s="3">
        <f>SUM(Table3[[#This Row],[auctionPrice1]:[auctionPrice12]])</f>
        <v>191116</v>
      </c>
      <c r="S24" s="3">
        <f>SUM(Table3[[#This Row],[studFeeUSD1]:[studFeeUSD12]])</f>
        <v>-13579.607</v>
      </c>
      <c r="T24" s="7">
        <f>COUNT(Table3[[#This Row],[successfulService1]:[successfulService12]])</f>
        <v>3</v>
      </c>
      <c r="U24" s="7">
        <f>SUM(Table3[[#This Row],[successfulService1]:[successfulService12]])</f>
        <v>3</v>
      </c>
      <c r="V24" s="7">
        <f>SUM(Table3[[#This Row],[soldInAuction1]:[soldInAuction12]])</f>
        <v>2</v>
      </c>
      <c r="W24" s="7">
        <f>SUM(Table3[[#This Row],[foreignHorse1]:[foreignHorse12]])</f>
        <v>3</v>
      </c>
      <c r="X24" s="3">
        <v>100500</v>
      </c>
      <c r="Y24" s="3">
        <v>85711.09</v>
      </c>
      <c r="Z24" s="3">
        <v>-8674.6990000000005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>
        <v>100500</v>
      </c>
      <c r="AW24" s="3">
        <v>90616</v>
      </c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>
        <v>0</v>
      </c>
      <c r="BI24" s="3">
        <v>-4904.9080000000004</v>
      </c>
      <c r="BJ24" s="3">
        <v>-8674.6990000000005</v>
      </c>
      <c r="BK24" s="3"/>
      <c r="BL24" s="3"/>
      <c r="BM24" s="3"/>
      <c r="BN24" s="3"/>
      <c r="BO24" s="3"/>
      <c r="BP24" s="3"/>
      <c r="BQ24" s="3"/>
      <c r="BR24" s="3"/>
      <c r="BS24" s="3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>
        <v>1</v>
      </c>
      <c r="CG24" s="1">
        <v>1</v>
      </c>
      <c r="CH24" s="1">
        <v>1</v>
      </c>
      <c r="CI24" s="1"/>
      <c r="CJ24" s="1"/>
      <c r="CK24" s="1"/>
      <c r="CL24" s="1"/>
      <c r="CM24" s="1"/>
      <c r="CN24" s="1"/>
      <c r="CO24" s="1"/>
      <c r="CP24" s="1"/>
      <c r="CQ24" s="1"/>
      <c r="CR24" s="1">
        <v>1</v>
      </c>
      <c r="CS24" s="1">
        <v>1</v>
      </c>
      <c r="CT24" s="1">
        <v>0</v>
      </c>
      <c r="CU24" s="1"/>
      <c r="CV24" s="1"/>
      <c r="CW24" s="1"/>
      <c r="CX24" s="1"/>
      <c r="CY24" s="1"/>
      <c r="CZ24" s="1"/>
      <c r="DA24" s="1"/>
      <c r="DB24" s="1"/>
      <c r="DC24" s="1"/>
      <c r="DD24" s="1">
        <v>1</v>
      </c>
      <c r="DE24" s="1">
        <v>1</v>
      </c>
      <c r="DF24" s="1">
        <v>1</v>
      </c>
      <c r="DG24" s="1"/>
      <c r="DH24" s="1"/>
      <c r="DI24" s="1"/>
      <c r="DJ24" s="1"/>
      <c r="DK24" s="1"/>
      <c r="DL24" s="1"/>
      <c r="DM24" s="1"/>
      <c r="DN24" s="1"/>
      <c r="DO24" s="1"/>
      <c r="DP24" s="1">
        <v>14</v>
      </c>
      <c r="DQ24" s="1">
        <v>15</v>
      </c>
      <c r="DR24" s="1">
        <v>16</v>
      </c>
      <c r="DS24" s="1"/>
      <c r="DT24" s="1"/>
      <c r="DU24" s="1"/>
      <c r="DV24" s="1"/>
      <c r="DW24" s="1"/>
      <c r="DX24" s="1"/>
      <c r="DY24" s="1"/>
      <c r="DZ24" s="1"/>
      <c r="EA24" s="1"/>
    </row>
    <row r="25" spans="1:131" x14ac:dyDescent="0.3">
      <c r="A25">
        <v>4038272</v>
      </c>
      <c r="B25" s="1" t="s">
        <v>36</v>
      </c>
      <c r="C25" s="1" t="s">
        <v>24</v>
      </c>
      <c r="D25" s="1">
        <v>2013</v>
      </c>
      <c r="E25" s="1">
        <v>12</v>
      </c>
      <c r="F25" s="10">
        <f>Table3[[#This Row],[First season 
with SF]]+Table3[[#This Row],['# Services 
provided]]</f>
        <v>15</v>
      </c>
      <c r="G25" s="26">
        <f>(Table3[[#This Row],[Total Income 
(Race + Price 
sold + Offs - maintenance cost)]]-Table3[[#This Row],[Price 
Bought]])/Table3[[#This Row],[Price 
Bought]]</f>
        <v>0.11338273076923081</v>
      </c>
      <c r="H25" s="31">
        <f>Table3[[#This Row],[Race 
earnings]]+Table3[[#This Row],[Price 
Sold]]-Table3[[#This Row],[Maintenance cost]]+Table3[[#This Row],[Total 
profit (Income - cost)]]</f>
        <v>144739.755</v>
      </c>
      <c r="I25" s="3">
        <f>_xlfn.IFNA(VLOOKUP(Table3[[#This Row],[damId]],Sheet1!$A$2:$M$970,5, FALSE), VLOOKUP(Table3[[#This Row],[dam]],Sheet1!$B$2:$M$970,4, FALSE))</f>
        <v>0</v>
      </c>
      <c r="J25" s="3">
        <f>_xlfn.IFNA(VLOOKUP(Table3[[#This Row],[damId]],Sheet1!$A$2:$M$970,13, FALSE), VLOOKUP(Table3[[#This Row],[dam]],Sheet1!$B$2:$M$970,13, FALSE))</f>
        <v>-130000</v>
      </c>
      <c r="K25" s="3">
        <f>_xlfn.IFNA(VLOOKUP(Table3[[#This Row],[damId]],Sheet1!$A$2:$M$970,11, FALSE), VLOOKUP(Table3[[#This Row],[dam]],Sheet1!$B$2:$M$970,11, FALSE))</f>
        <v>130000</v>
      </c>
      <c r="L25" s="3">
        <f>_xlfn.IFNA(VLOOKUP(Table3[[#This Row],[damId]],Sheet1!$A$2:$M$970,12, FALSE), VLOOKUP(Table3[[#This Row],[dam]],Sheet1!$B$2:$M$970,12, FALSE))</f>
        <v>0</v>
      </c>
      <c r="M25" s="3">
        <f>_xlfn.IFNA(VLOOKUP(Table3[[#This Row],[damId]],Sheet1!$A$2:$T$970,20, FALSE), VLOOKUP(Table3[[#This Row],[dam]],Sheet1!$B$2:$T$970,20, FALSE))*Sheet1!$AD$3</f>
        <v>184191.75</v>
      </c>
      <c r="N25" s="3">
        <f>Table3[[#This Row],[Total 
income (Earnings + value - stud fee)]]-Table3[[#This Row],[Maintenance cost ]]</f>
        <v>328931.505</v>
      </c>
      <c r="O25" s="3">
        <f>SUM(Table3[[#This Row],[income1]:[income12]])</f>
        <v>375000</v>
      </c>
      <c r="P25" s="3">
        <f>_xlfn.IFNA(VLOOKUP(Table3[[#This Row],[damId]],Sheet1!$A$2:$Y$970,23, FALSE), VLOOKUP(Table3[[#This Row],[dam]],Sheet1!$B$2:$Y$970,23, FALSE))*Sheet1!$AD$3</f>
        <v>46068.494999999995</v>
      </c>
      <c r="Q25" s="3">
        <f>SUM(Table3[[#This Row],[earningsInRaces1]:[earningsInRaces12]])</f>
        <v>0</v>
      </c>
      <c r="R25" s="3">
        <f>SUM(Table3[[#This Row],[auctionPrice1]:[auctionPrice12]])</f>
        <v>415000</v>
      </c>
      <c r="S25" s="3">
        <f>SUM(Table3[[#This Row],[studFeeUSD1]:[studFeeUSD12]])</f>
        <v>-40000</v>
      </c>
      <c r="T25" s="7">
        <f>COUNT(Table3[[#This Row],[successfulService1]:[successfulService12]])</f>
        <v>3</v>
      </c>
      <c r="U25" s="7">
        <f>SUM(Table3[[#This Row],[successfulService1]:[successfulService12]])</f>
        <v>2</v>
      </c>
      <c r="V25" s="7">
        <f>SUM(Table3[[#This Row],[soldInAuction1]:[soldInAuction12]])</f>
        <v>2</v>
      </c>
      <c r="W25" s="7">
        <f>SUM(Table3[[#This Row],[foreignHorse1]:[foreignHorse12]])</f>
        <v>0</v>
      </c>
      <c r="X25" s="3">
        <v>400000</v>
      </c>
      <c r="Y25" s="3">
        <v>0</v>
      </c>
      <c r="Z25" s="3">
        <v>-25000</v>
      </c>
      <c r="AA25" s="3"/>
      <c r="AB25" s="3"/>
      <c r="AC25" s="3"/>
      <c r="AD25" s="3"/>
      <c r="AE25" s="3"/>
      <c r="AF25" s="3"/>
      <c r="AG25" s="3"/>
      <c r="AH25" s="3"/>
      <c r="AI25" s="3"/>
      <c r="AJ25" s="3">
        <v>0</v>
      </c>
      <c r="AK25" s="3">
        <v>0</v>
      </c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>
        <v>400000</v>
      </c>
      <c r="AW25" s="3">
        <v>15000</v>
      </c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>
        <v>0</v>
      </c>
      <c r="BI25" s="3">
        <v>-15000</v>
      </c>
      <c r="BJ25" s="3">
        <v>-25000</v>
      </c>
      <c r="BK25" s="3"/>
      <c r="BL25" s="3"/>
      <c r="BM25" s="3"/>
      <c r="BN25" s="3"/>
      <c r="BO25" s="3"/>
      <c r="BP25" s="3"/>
      <c r="BQ25" s="3"/>
      <c r="BR25" s="3"/>
      <c r="BS25" s="3"/>
      <c r="BT25" s="1">
        <v>0</v>
      </c>
      <c r="BU25" s="1">
        <v>0</v>
      </c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>
        <v>1</v>
      </c>
      <c r="CG25" s="1">
        <v>1</v>
      </c>
      <c r="CH25" s="1">
        <v>0</v>
      </c>
      <c r="CI25" s="1"/>
      <c r="CJ25" s="1"/>
      <c r="CK25" s="1"/>
      <c r="CL25" s="1"/>
      <c r="CM25" s="1"/>
      <c r="CN25" s="1"/>
      <c r="CO25" s="1"/>
      <c r="CP25" s="1"/>
      <c r="CQ25" s="1"/>
      <c r="CR25" s="1">
        <v>1</v>
      </c>
      <c r="CS25" s="1">
        <v>1</v>
      </c>
      <c r="CT25" s="1">
        <v>0</v>
      </c>
      <c r="CU25" s="1"/>
      <c r="CV25" s="1"/>
      <c r="CW25" s="1"/>
      <c r="CX25" s="1"/>
      <c r="CY25" s="1"/>
      <c r="CZ25" s="1"/>
      <c r="DA25" s="1"/>
      <c r="DB25" s="1"/>
      <c r="DC25" s="1"/>
      <c r="DD25" s="1">
        <v>0</v>
      </c>
      <c r="DE25" s="1">
        <v>0</v>
      </c>
      <c r="DF25" s="1">
        <v>0</v>
      </c>
      <c r="DG25" s="1"/>
      <c r="DH25" s="1"/>
      <c r="DI25" s="1"/>
      <c r="DJ25" s="1"/>
      <c r="DK25" s="1"/>
      <c r="DL25" s="1"/>
      <c r="DM25" s="1"/>
      <c r="DN25" s="1"/>
      <c r="DO25" s="1"/>
      <c r="DP25" s="1">
        <v>12</v>
      </c>
      <c r="DQ25" s="1">
        <v>13</v>
      </c>
      <c r="DR25" s="1">
        <v>15</v>
      </c>
      <c r="DS25" s="1"/>
      <c r="DT25" s="1"/>
      <c r="DU25" s="1"/>
      <c r="DV25" s="1"/>
      <c r="DW25" s="1"/>
      <c r="DX25" s="1"/>
      <c r="DY25" s="1"/>
      <c r="DZ25" s="1"/>
      <c r="EA25" s="1"/>
    </row>
    <row r="26" spans="1:131" x14ac:dyDescent="0.3">
      <c r="A26">
        <v>4297755</v>
      </c>
      <c r="B26" s="1" t="s">
        <v>40</v>
      </c>
      <c r="C26" s="1" t="s">
        <v>24</v>
      </c>
      <c r="D26" s="1">
        <v>2013</v>
      </c>
      <c r="E26" s="1">
        <v>12</v>
      </c>
      <c r="F26" s="10">
        <f>Table3[[#This Row],[First season 
with SF]]+Table3[[#This Row],['# Services 
provided]]</f>
        <v>20</v>
      </c>
      <c r="G26" s="26">
        <f>(Table3[[#This Row],[Total Income 
(Race + Price 
sold + Offs - maintenance cost)]]-Table3[[#This Row],[Price 
Bought]])/Table3[[#This Row],[Price 
Bought]]</f>
        <v>7.9248646666666662</v>
      </c>
      <c r="H26" s="31">
        <f>Table3[[#This Row],[Race 
earnings]]+Table3[[#This Row],[Price 
Sold]]-Table3[[#This Row],[Maintenance cost]]+Table3[[#This Row],[Total 
profit (Income - cost)]]</f>
        <v>669364.85</v>
      </c>
      <c r="I26" s="3">
        <f>_xlfn.IFNA(VLOOKUP(Table3[[#This Row],[damId]],Sheet1!$A$2:$M$970,5, FALSE), VLOOKUP(Table3[[#This Row],[dam]],Sheet1!$B$2:$M$970,4, FALSE))</f>
        <v>0</v>
      </c>
      <c r="J26" s="3">
        <f>_xlfn.IFNA(VLOOKUP(Table3[[#This Row],[damId]],Sheet1!$A$2:$M$970,13, FALSE), VLOOKUP(Table3[[#This Row],[dam]],Sheet1!$B$2:$M$970,13, FALSE))</f>
        <v>-75000</v>
      </c>
      <c r="K26" s="3">
        <f>_xlfn.IFNA(VLOOKUP(Table3[[#This Row],[damId]],Sheet1!$A$2:$M$970,11, FALSE), VLOOKUP(Table3[[#This Row],[dam]],Sheet1!$B$2:$M$970,11, FALSE))</f>
        <v>75000</v>
      </c>
      <c r="L26" s="3">
        <f>_xlfn.IFNA(VLOOKUP(Table3[[#This Row],[damId]],Sheet1!$A$2:$M$970,12, FALSE), VLOOKUP(Table3[[#This Row],[dam]],Sheet1!$B$2:$M$970,12, FALSE))</f>
        <v>0</v>
      </c>
      <c r="M26" s="3">
        <f>_xlfn.IFNA(VLOOKUP(Table3[[#This Row],[damId]],Sheet1!$A$2:$T$970,20, FALSE), VLOOKUP(Table3[[#This Row],[dam]],Sheet1!$B$2:$T$970,20, FALSE))*Sheet1!$AD$3</f>
        <v>184397.25</v>
      </c>
      <c r="N26" s="3">
        <f>Table3[[#This Row],[Total 
income (Earnings + value - stud fee)]]-Table3[[#This Row],[Maintenance cost ]]</f>
        <v>853762.1</v>
      </c>
      <c r="O26" s="3">
        <f>SUM(Table3[[#This Row],[income1]:[income12]])</f>
        <v>1111310</v>
      </c>
      <c r="P26" s="3">
        <f>_xlfn.IFNA(VLOOKUP(Table3[[#This Row],[damId]],Sheet1!$A$2:$Y$970,23, FALSE), VLOOKUP(Table3[[#This Row],[dam]],Sheet1!$B$2:$Y$970,23, FALSE))*Sheet1!$AD$3</f>
        <v>257547.9</v>
      </c>
      <c r="Q26" s="3">
        <f>SUM(Table3[[#This Row],[earningsInRaces1]:[earningsInRaces12]])</f>
        <v>82810</v>
      </c>
      <c r="R26" s="3">
        <f>SUM(Table3[[#This Row],[auctionPrice1]:[auctionPrice12]])</f>
        <v>1211000</v>
      </c>
      <c r="S26" s="3">
        <f>SUM(Table3[[#This Row],[studFeeUSD1]:[studFeeUSD12]])</f>
        <v>-182500</v>
      </c>
      <c r="T26" s="7">
        <f>COUNT(Table3[[#This Row],[successfulService1]:[successfulService12]])</f>
        <v>8</v>
      </c>
      <c r="U26" s="7">
        <f>SUM(Table3[[#This Row],[successfulService1]:[successfulService12]])</f>
        <v>8</v>
      </c>
      <c r="V26" s="7">
        <f>SUM(Table3[[#This Row],[soldInAuction1]:[soldInAuction12]])</f>
        <v>8</v>
      </c>
      <c r="W26" s="7">
        <f>SUM(Table3[[#This Row],[foreignHorse1]:[foreignHorse12]])</f>
        <v>0</v>
      </c>
      <c r="X26" s="3">
        <v>400000</v>
      </c>
      <c r="Y26" s="3">
        <v>175000</v>
      </c>
      <c r="Z26" s="3">
        <v>6460</v>
      </c>
      <c r="AA26" s="3">
        <v>175000</v>
      </c>
      <c r="AB26" s="3">
        <v>137500</v>
      </c>
      <c r="AC26" s="3">
        <v>204350</v>
      </c>
      <c r="AD26" s="3">
        <v>8000</v>
      </c>
      <c r="AE26" s="3">
        <v>5000</v>
      </c>
      <c r="AF26" s="3"/>
      <c r="AG26" s="3"/>
      <c r="AH26" s="3"/>
      <c r="AI26" s="3"/>
      <c r="AJ26" s="3">
        <v>0</v>
      </c>
      <c r="AK26" s="3">
        <v>0</v>
      </c>
      <c r="AL26" s="3">
        <v>18460</v>
      </c>
      <c r="AM26" s="3">
        <v>0</v>
      </c>
      <c r="AN26" s="3">
        <v>0</v>
      </c>
      <c r="AO26" s="3">
        <v>64350</v>
      </c>
      <c r="AP26" s="3">
        <v>0</v>
      </c>
      <c r="AQ26" s="3">
        <v>0</v>
      </c>
      <c r="AR26" s="3"/>
      <c r="AS26" s="3"/>
      <c r="AT26" s="3"/>
      <c r="AU26" s="3"/>
      <c r="AV26" s="3">
        <v>400000</v>
      </c>
      <c r="AW26" s="3">
        <v>250000</v>
      </c>
      <c r="AX26" s="3">
        <v>13000</v>
      </c>
      <c r="AY26" s="3">
        <v>235000</v>
      </c>
      <c r="AZ26" s="3">
        <v>150000</v>
      </c>
      <c r="BA26" s="3">
        <v>140000</v>
      </c>
      <c r="BB26" s="3">
        <v>8000</v>
      </c>
      <c r="BC26" s="3">
        <v>15000</v>
      </c>
      <c r="BD26" s="3"/>
      <c r="BE26" s="3"/>
      <c r="BF26" s="3"/>
      <c r="BG26" s="3"/>
      <c r="BH26" s="3">
        <v>0</v>
      </c>
      <c r="BI26" s="3">
        <v>-75000</v>
      </c>
      <c r="BJ26" s="3">
        <v>-25000</v>
      </c>
      <c r="BK26" s="3">
        <v>-60000</v>
      </c>
      <c r="BL26" s="3">
        <v>-12500</v>
      </c>
      <c r="BM26" s="3"/>
      <c r="BN26" s="3"/>
      <c r="BO26" s="3">
        <v>-10000</v>
      </c>
      <c r="BP26" s="3"/>
      <c r="BQ26" s="3"/>
      <c r="BR26" s="3"/>
      <c r="BS26" s="3"/>
      <c r="BT26" s="1">
        <v>0</v>
      </c>
      <c r="BU26" s="1">
        <v>0</v>
      </c>
      <c r="BV26" s="1">
        <v>1</v>
      </c>
      <c r="BW26" s="1">
        <v>0</v>
      </c>
      <c r="BX26" s="1">
        <v>0</v>
      </c>
      <c r="BY26" s="1">
        <v>1</v>
      </c>
      <c r="BZ26" s="1">
        <v>0</v>
      </c>
      <c r="CA26" s="1">
        <v>0</v>
      </c>
      <c r="CB26" s="1"/>
      <c r="CC26" s="1"/>
      <c r="CD26" s="1"/>
      <c r="CE26" s="1"/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/>
      <c r="CO26" s="1"/>
      <c r="CP26" s="1"/>
      <c r="CQ26" s="1"/>
      <c r="CR26" s="1">
        <v>1</v>
      </c>
      <c r="CS26" s="1">
        <v>1</v>
      </c>
      <c r="CT26" s="1">
        <v>1</v>
      </c>
      <c r="CU26" s="1">
        <v>1</v>
      </c>
      <c r="CV26" s="1">
        <v>1</v>
      </c>
      <c r="CW26" s="1">
        <v>1</v>
      </c>
      <c r="CX26" s="1">
        <v>1</v>
      </c>
      <c r="CY26" s="1">
        <v>1</v>
      </c>
      <c r="CZ26" s="1"/>
      <c r="DA26" s="1"/>
      <c r="DB26" s="1"/>
      <c r="DC26" s="1"/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/>
      <c r="DM26" s="1"/>
      <c r="DN26" s="1"/>
      <c r="DO26" s="1"/>
      <c r="DP26" s="1">
        <v>12</v>
      </c>
      <c r="DQ26" s="1">
        <v>13</v>
      </c>
      <c r="DR26" s="1">
        <v>14</v>
      </c>
      <c r="DS26" s="1">
        <v>15</v>
      </c>
      <c r="DT26" s="1">
        <v>16</v>
      </c>
      <c r="DU26" s="1">
        <v>17</v>
      </c>
      <c r="DV26" s="1">
        <v>18</v>
      </c>
      <c r="DW26" s="1">
        <v>19</v>
      </c>
      <c r="DX26" s="1"/>
      <c r="DY26" s="1"/>
      <c r="DZ26" s="1"/>
      <c r="EA26" s="1"/>
    </row>
    <row r="27" spans="1:131" x14ac:dyDescent="0.3">
      <c r="A27">
        <v>5210668</v>
      </c>
      <c r="B27" s="1" t="s">
        <v>69</v>
      </c>
      <c r="C27" s="1" t="s">
        <v>24</v>
      </c>
      <c r="D27" s="1">
        <v>2013</v>
      </c>
      <c r="E27" s="1">
        <v>8</v>
      </c>
      <c r="F27" s="10">
        <f>Table3[[#This Row],[First season 
with SF]]+Table3[[#This Row],['# Services 
provided]]</f>
        <v>10</v>
      </c>
      <c r="G27" s="26">
        <f>(Table3[[#This Row],[Total Income 
(Race + Price 
sold + Offs - maintenance cost)]]-Table3[[#This Row],[Price 
Bought]])/Table3[[#This Row],[Price 
Bought]]</f>
        <v>-1.3461187999999999</v>
      </c>
      <c r="H27" s="31">
        <f>Table3[[#This Row],[Race 
earnings]]+Table3[[#This Row],[Price 
Sold]]-Table3[[#This Row],[Maintenance cost]]+Table3[[#This Row],[Total 
profit (Income - cost)]]</f>
        <v>-77876.729999999981</v>
      </c>
      <c r="I27" s="3">
        <f>_xlfn.IFNA(VLOOKUP(Table3[[#This Row],[damId]],Sheet1!$A$2:$M$970,5, FALSE), VLOOKUP(Table3[[#This Row],[dam]],Sheet1!$B$2:$M$970,4, FALSE))</f>
        <v>0</v>
      </c>
      <c r="J27" s="3">
        <f>_xlfn.IFNA(VLOOKUP(Table3[[#This Row],[damId]],Sheet1!$A$2:$M$970,13, FALSE), VLOOKUP(Table3[[#This Row],[dam]],Sheet1!$B$2:$M$970,13, FALSE))</f>
        <v>-225000</v>
      </c>
      <c r="K27" s="3">
        <f>_xlfn.IFNA(VLOOKUP(Table3[[#This Row],[damId]],Sheet1!$A$2:$M$970,11, FALSE), VLOOKUP(Table3[[#This Row],[dam]],Sheet1!$B$2:$M$970,11, FALSE))</f>
        <v>225000</v>
      </c>
      <c r="L27" s="3">
        <f>_xlfn.IFNA(VLOOKUP(Table3[[#This Row],[damId]],Sheet1!$A$2:$M$970,12, FALSE), VLOOKUP(Table3[[#This Row],[dam]],Sheet1!$B$2:$M$970,12, FALSE))</f>
        <v>0</v>
      </c>
      <c r="M27" s="3">
        <f>_xlfn.IFNA(VLOOKUP(Table3[[#This Row],[damId]],Sheet1!$A$2:$T$970,20, FALSE), VLOOKUP(Table3[[#This Row],[dam]],Sheet1!$B$2:$T$970,20, FALSE))*Sheet1!$AD$3</f>
        <v>196726.05</v>
      </c>
      <c r="N27" s="3">
        <f>Table3[[#This Row],[Total 
income (Earnings + value - stud fee)]]-Table3[[#This Row],[Maintenance cost ]]</f>
        <v>118849.32</v>
      </c>
      <c r="O27" s="3">
        <f>SUM(Table3[[#This Row],[income1]:[income12]])</f>
        <v>153000</v>
      </c>
      <c r="P27" s="3">
        <f>_xlfn.IFNA(VLOOKUP(Table3[[#This Row],[damId]],Sheet1!$A$2:$Y$970,23, FALSE), VLOOKUP(Table3[[#This Row],[dam]],Sheet1!$B$2:$Y$970,23, FALSE))*Sheet1!$AD$3</f>
        <v>34150.68</v>
      </c>
      <c r="Q27" s="3">
        <f>SUM(Table3[[#This Row],[earningsInRaces1]:[earningsInRaces12]])</f>
        <v>0</v>
      </c>
      <c r="R27" s="3">
        <f>SUM(Table3[[#This Row],[auctionPrice1]:[auctionPrice12]])</f>
        <v>168000</v>
      </c>
      <c r="S27" s="3">
        <f>SUM(Table3[[#This Row],[studFeeUSD1]:[studFeeUSD12]])</f>
        <v>-15000</v>
      </c>
      <c r="T27" s="7">
        <f>COUNT(Table3[[#This Row],[successfulService1]:[successfulService12]])</f>
        <v>2</v>
      </c>
      <c r="U27" s="7">
        <f>SUM(Table3[[#This Row],[successfulService1]:[successfulService12]])</f>
        <v>2</v>
      </c>
      <c r="V27" s="7">
        <f>SUM(Table3[[#This Row],[soldInAuction1]:[soldInAuction12]])</f>
        <v>2</v>
      </c>
      <c r="W27" s="7">
        <f>SUM(Table3[[#This Row],[foreignHorse1]:[foreignHorse12]])</f>
        <v>0</v>
      </c>
      <c r="X27" s="3">
        <v>150000</v>
      </c>
      <c r="Y27" s="3">
        <v>3000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>
        <v>0</v>
      </c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>
        <v>150000</v>
      </c>
      <c r="AW27" s="3">
        <v>18000</v>
      </c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>
        <v>0</v>
      </c>
      <c r="BI27" s="3">
        <v>-15000</v>
      </c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1"/>
      <c r="BU27" s="1">
        <v>0</v>
      </c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>
        <v>1</v>
      </c>
      <c r="CG27" s="1">
        <v>1</v>
      </c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>
        <v>1</v>
      </c>
      <c r="CS27" s="1">
        <v>1</v>
      </c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>
        <v>0</v>
      </c>
      <c r="DE27" s="1">
        <v>0</v>
      </c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>
        <v>8</v>
      </c>
      <c r="DQ27" s="1">
        <v>9</v>
      </c>
      <c r="DR27" s="1"/>
      <c r="DS27" s="1"/>
      <c r="DT27" s="1"/>
      <c r="DU27" s="1"/>
      <c r="DV27" s="1"/>
      <c r="DW27" s="1"/>
      <c r="DX27" s="1"/>
      <c r="DY27" s="1"/>
      <c r="DZ27" s="1"/>
      <c r="EA27" s="1"/>
    </row>
    <row r="28" spans="1:131" x14ac:dyDescent="0.3">
      <c r="A28">
        <v>6079769</v>
      </c>
      <c r="B28" s="1" t="s">
        <v>85</v>
      </c>
      <c r="C28" s="1" t="s">
        <v>24</v>
      </c>
      <c r="D28" s="1">
        <v>2013</v>
      </c>
      <c r="E28" s="1">
        <v>6</v>
      </c>
      <c r="F28" s="10">
        <f>Table3[[#This Row],[First season 
with SF]]+Table3[[#This Row],['# Services 
provided]]</f>
        <v>7</v>
      </c>
      <c r="G28" s="26">
        <f>(Table3[[#This Row],[Total Income 
(Race + Price 
sold + Offs - maintenance cost)]]-Table3[[#This Row],[Price 
Bought]])/Table3[[#This Row],[Price 
Bought]]</f>
        <v>-0.56828769999999995</v>
      </c>
      <c r="H28" s="31">
        <f>Table3[[#This Row],[Race 
earnings]]+Table3[[#This Row],[Price 
Sold]]-Table3[[#This Row],[Maintenance cost]]+Table3[[#This Row],[Total 
profit (Income - cost)]]</f>
        <v>86342.46</v>
      </c>
      <c r="I28" s="3">
        <f>_xlfn.IFNA(VLOOKUP(Table3[[#This Row],[damId]],Sheet1!$A$2:$M$970,5, FALSE), VLOOKUP(Table3[[#This Row],[dam]],Sheet1!$B$2:$M$970,4, FALSE))</f>
        <v>0</v>
      </c>
      <c r="J28" s="3">
        <f>_xlfn.IFNA(VLOOKUP(Table3[[#This Row],[damId]],Sheet1!$A$2:$M$970,13, FALSE), VLOOKUP(Table3[[#This Row],[dam]],Sheet1!$B$2:$M$970,13, FALSE))</f>
        <v>-65000</v>
      </c>
      <c r="K28" s="3">
        <f>_xlfn.IFNA(VLOOKUP(Table3[[#This Row],[damId]],Sheet1!$A$2:$M$970,11, FALSE), VLOOKUP(Table3[[#This Row],[dam]],Sheet1!$B$2:$M$970,11, FALSE))</f>
        <v>200000</v>
      </c>
      <c r="L28" s="3">
        <f>_xlfn.IFNA(VLOOKUP(Table3[[#This Row],[damId]],Sheet1!$A$2:$M$970,12, FALSE), VLOOKUP(Table3[[#This Row],[dam]],Sheet1!$B$2:$M$970,12, FALSE))</f>
        <v>135000</v>
      </c>
      <c r="M28" s="3">
        <f>_xlfn.IFNA(VLOOKUP(Table3[[#This Row],[damId]],Sheet1!$A$2:$T$970,20, FALSE), VLOOKUP(Table3[[#This Row],[dam]],Sheet1!$B$2:$T$970,20, FALSE))*Sheet1!$AD$3</f>
        <v>27452.055</v>
      </c>
      <c r="N28" s="3">
        <f>Table3[[#This Row],[Total 
income (Earnings + value - stud fee)]]-Table3[[#This Row],[Maintenance cost ]]</f>
        <v>-21205.485000000001</v>
      </c>
      <c r="O28" s="3">
        <f>SUM(Table3[[#This Row],[income1]:[income12]])</f>
        <v>0</v>
      </c>
      <c r="P28" s="3">
        <f>_xlfn.IFNA(VLOOKUP(Table3[[#This Row],[damId]],Sheet1!$A$2:$Y$970,23, FALSE), VLOOKUP(Table3[[#This Row],[dam]],Sheet1!$B$2:$Y$970,23, FALSE))*Sheet1!$AD$3</f>
        <v>21205.485000000001</v>
      </c>
      <c r="Q28" s="3">
        <f>SUM(Table3[[#This Row],[earningsInRaces1]:[earningsInRaces12]])</f>
        <v>0</v>
      </c>
      <c r="R28" s="3">
        <f>SUM(Table3[[#This Row],[auctionPrice1]:[auctionPrice12]])</f>
        <v>0</v>
      </c>
      <c r="S28" s="3">
        <f>SUM(Table3[[#This Row],[studFeeUSD1]:[studFeeUSD12]])</f>
        <v>0</v>
      </c>
      <c r="T28" s="7">
        <f>COUNT(Table3[[#This Row],[successfulService1]:[successfulService12]])</f>
        <v>1</v>
      </c>
      <c r="U28" s="7">
        <f>SUM(Table3[[#This Row],[successfulService1]:[successfulService12]])</f>
        <v>0</v>
      </c>
      <c r="V28" s="7">
        <f>SUM(Table3[[#This Row],[soldInAuction1]:[soldInAuction12]])</f>
        <v>0</v>
      </c>
      <c r="W28" s="7">
        <f>SUM(Table3[[#This Row],[foreignHorse1]:[foreignHorse12]])</f>
        <v>0</v>
      </c>
      <c r="X28" s="3">
        <v>0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>
        <v>0</v>
      </c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>
        <v>0</v>
      </c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>
        <v>0</v>
      </c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>
        <v>0</v>
      </c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>
        <v>6</v>
      </c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</row>
    <row r="29" spans="1:131" x14ac:dyDescent="0.3">
      <c r="A29">
        <v>7425422</v>
      </c>
      <c r="B29" s="1" t="s">
        <v>159</v>
      </c>
      <c r="C29" s="1" t="s">
        <v>139</v>
      </c>
      <c r="D29" s="1">
        <v>2013</v>
      </c>
      <c r="E29" s="1">
        <v>1</v>
      </c>
      <c r="F29" s="10">
        <f>Table3[[#This Row],[First season 
with SF]]+Table3[[#This Row],['# Services 
provided]]</f>
        <v>2</v>
      </c>
      <c r="G29" s="26">
        <f>(Table3[[#This Row],[Total Income 
(Race + Price 
sold + Offs - maintenance cost)]]-Table3[[#This Row],[Price 
Bought]])/Table3[[#This Row],[Price 
Bought]]</f>
        <v>1.3290753437499998</v>
      </c>
      <c r="H29" s="31">
        <f>Table3[[#This Row],[Race 
earnings]]+Table3[[#This Row],[Price 
Sold]]-Table3[[#This Row],[Maintenance cost]]+Table3[[#This Row],[Total 
profit (Income - cost)]]</f>
        <v>1863260.2749999999</v>
      </c>
      <c r="I29" s="3">
        <f>_xlfn.IFNA(VLOOKUP(Table3[[#This Row],[damId]],Sheet1!$A$2:$M$970,5, FALSE), VLOOKUP(Table3[[#This Row],[dam]],Sheet1!$B$2:$M$970,4, FALSE))</f>
        <v>0</v>
      </c>
      <c r="J29" s="3">
        <f>_xlfn.IFNA(VLOOKUP(Table3[[#This Row],[damId]],Sheet1!$A$2:$M$970,13, FALSE), VLOOKUP(Table3[[#This Row],[dam]],Sheet1!$B$2:$M$970,13, FALSE))</f>
        <v>1000000</v>
      </c>
      <c r="K29" s="3">
        <f>_xlfn.IFNA(VLOOKUP(Table3[[#This Row],[damId]],Sheet1!$A$2:$M$970,11, FALSE), VLOOKUP(Table3[[#This Row],[dam]],Sheet1!$B$2:$M$970,11, FALSE))</f>
        <v>800000</v>
      </c>
      <c r="L29" s="3">
        <f>_xlfn.IFNA(VLOOKUP(Table3[[#This Row],[damId]],Sheet1!$A$2:$M$970,12, FALSE), VLOOKUP(Table3[[#This Row],[dam]],Sheet1!$B$2:$M$970,12, FALSE))</f>
        <v>1800000</v>
      </c>
      <c r="M29" s="3">
        <f>_xlfn.IFNA(VLOOKUP(Table3[[#This Row],[damId]],Sheet1!$A$2:$T$970,20, FALSE), VLOOKUP(Table3[[#This Row],[dam]],Sheet1!$B$2:$T$970,20, FALSE))*Sheet1!$AD$3</f>
        <v>30041.100000000002</v>
      </c>
      <c r="N29" s="3">
        <f>Table3[[#This Row],[Total 
income (Earnings + value - stud fee)]]-Table3[[#This Row],[Maintenance cost ]]</f>
        <v>93301.375</v>
      </c>
      <c r="O29" s="3">
        <f>SUM(Table3[[#This Row],[income1]:[income12]])</f>
        <v>115000</v>
      </c>
      <c r="P29" s="3">
        <f>_xlfn.IFNA(VLOOKUP(Table3[[#This Row],[damId]],Sheet1!$A$2:$Y$970,23, FALSE), VLOOKUP(Table3[[#This Row],[dam]],Sheet1!$B$2:$Y$970,23, FALSE))*Sheet1!$AD$3</f>
        <v>21698.625</v>
      </c>
      <c r="Q29" s="3">
        <f>SUM(Table3[[#This Row],[earningsInRaces1]:[earningsInRaces12]])</f>
        <v>0</v>
      </c>
      <c r="R29" s="3">
        <f>SUM(Table3[[#This Row],[auctionPrice1]:[auctionPrice12]])</f>
        <v>200000</v>
      </c>
      <c r="S29" s="3">
        <f>SUM(Table3[[#This Row],[studFeeUSD1]:[studFeeUSD12]])</f>
        <v>-85000</v>
      </c>
      <c r="T29" s="7">
        <f>COUNT(Table3[[#This Row],[successfulService1]:[successfulService12]])</f>
        <v>1</v>
      </c>
      <c r="U29" s="7">
        <f>SUM(Table3[[#This Row],[successfulService1]:[successfulService12]])</f>
        <v>1</v>
      </c>
      <c r="V29" s="7">
        <f>SUM(Table3[[#This Row],[soldInAuction1]:[soldInAuction12]])</f>
        <v>1</v>
      </c>
      <c r="W29" s="7">
        <f>SUM(Table3[[#This Row],[foreignHorse1]:[foreignHorse12]])</f>
        <v>0</v>
      </c>
      <c r="X29" s="3">
        <v>115000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>
        <v>0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>
        <v>200000</v>
      </c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>
        <v>-85000</v>
      </c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1">
        <v>0</v>
      </c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>
        <v>1</v>
      </c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>
        <v>1</v>
      </c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>
        <v>0</v>
      </c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>
        <v>1</v>
      </c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</row>
    <row r="30" spans="1:131" x14ac:dyDescent="0.3">
      <c r="A30">
        <v>7485686</v>
      </c>
      <c r="B30" s="1" t="s">
        <v>171</v>
      </c>
      <c r="C30" s="1" t="s">
        <v>139</v>
      </c>
      <c r="D30" s="1">
        <v>2013</v>
      </c>
      <c r="E30" s="1">
        <v>1</v>
      </c>
      <c r="F30" s="10">
        <f>Table3[[#This Row],[First season 
with SF]]+Table3[[#This Row],['# Services 
provided]]</f>
        <v>9</v>
      </c>
      <c r="G30" s="26">
        <f>(Table3[[#This Row],[Total Income 
(Race + Price 
sold + Offs - maintenance cost)]]-Table3[[#This Row],[Price 
Bought]])/Table3[[#This Row],[Price 
Bought]]</f>
        <v>0.44636982499999983</v>
      </c>
      <c r="H30" s="31">
        <f>Table3[[#This Row],[Race 
earnings]]+Table3[[#This Row],[Price 
Sold]]-Table3[[#This Row],[Maintenance cost]]+Table3[[#This Row],[Total 
profit (Income - cost)]]</f>
        <v>289273.96499999997</v>
      </c>
      <c r="I30" s="3">
        <f>_xlfn.IFNA(VLOOKUP(Table3[[#This Row],[damId]],Sheet1!$A$2:$M$970,5, FALSE), VLOOKUP(Table3[[#This Row],[dam]],Sheet1!$B$2:$M$970,4, FALSE))</f>
        <v>0</v>
      </c>
      <c r="J30" s="3">
        <f>_xlfn.IFNA(VLOOKUP(Table3[[#This Row],[damId]],Sheet1!$A$2:$M$970,13, FALSE), VLOOKUP(Table3[[#This Row],[dam]],Sheet1!$B$2:$M$970,13, FALSE))</f>
        <v>-169000</v>
      </c>
      <c r="K30" s="3">
        <f>_xlfn.IFNA(VLOOKUP(Table3[[#This Row],[damId]],Sheet1!$A$2:$M$970,11, FALSE), VLOOKUP(Table3[[#This Row],[dam]],Sheet1!$B$2:$M$970,11, FALSE))</f>
        <v>200000</v>
      </c>
      <c r="L30" s="3">
        <f>_xlfn.IFNA(VLOOKUP(Table3[[#This Row],[damId]],Sheet1!$A$2:$M$970,12, FALSE), VLOOKUP(Table3[[#This Row],[dam]],Sheet1!$B$2:$M$970,12, FALSE))</f>
        <v>31000</v>
      </c>
      <c r="M30" s="3">
        <f>_xlfn.IFNA(VLOOKUP(Table3[[#This Row],[damId]],Sheet1!$A$2:$T$970,20, FALSE), VLOOKUP(Table3[[#This Row],[dam]],Sheet1!$B$2:$T$970,20, FALSE))*Sheet1!$AD$3</f>
        <v>124068.49500000001</v>
      </c>
      <c r="N30" s="3">
        <f>Table3[[#This Row],[Total 
income (Earnings + value - stud fee)]]-Table3[[#This Row],[Maintenance cost ]]</f>
        <v>382342.45999999996</v>
      </c>
      <c r="O30" s="3">
        <f>SUM(Table3[[#This Row],[income1]:[income12]])</f>
        <v>479000</v>
      </c>
      <c r="P30" s="3">
        <f>_xlfn.IFNA(VLOOKUP(Table3[[#This Row],[damId]],Sheet1!$A$2:$Y$970,23, FALSE), VLOOKUP(Table3[[#This Row],[dam]],Sheet1!$B$2:$Y$970,23, FALSE))*Sheet1!$AD$3</f>
        <v>96657.540000000008</v>
      </c>
      <c r="Q30" s="3">
        <f>SUM(Table3[[#This Row],[earningsInRaces1]:[earningsInRaces12]])</f>
        <v>0</v>
      </c>
      <c r="R30" s="3">
        <f>SUM(Table3[[#This Row],[auctionPrice1]:[auctionPrice12]])</f>
        <v>689000</v>
      </c>
      <c r="S30" s="3">
        <f>SUM(Table3[[#This Row],[studFeeUSD1]:[studFeeUSD12]])</f>
        <v>-210000</v>
      </c>
      <c r="T30" s="7">
        <f>COUNT(Table3[[#This Row],[successfulService1]:[successfulService12]])</f>
        <v>8</v>
      </c>
      <c r="U30" s="7">
        <f>SUM(Table3[[#This Row],[successfulService1]:[successfulService12]])</f>
        <v>8</v>
      </c>
      <c r="V30" s="7">
        <f>SUM(Table3[[#This Row],[soldInAuction1]:[soldInAuction12]])</f>
        <v>8</v>
      </c>
      <c r="W30" s="7">
        <f>SUM(Table3[[#This Row],[foreignHorse1]:[foreignHorse12]])</f>
        <v>0</v>
      </c>
      <c r="X30" s="3">
        <v>50000</v>
      </c>
      <c r="Y30" s="3">
        <v>55000</v>
      </c>
      <c r="Z30" s="3">
        <v>140000</v>
      </c>
      <c r="AA30" s="3">
        <v>62000</v>
      </c>
      <c r="AB30" s="3">
        <v>125000</v>
      </c>
      <c r="AC30" s="3">
        <v>15000</v>
      </c>
      <c r="AD30" s="3">
        <v>-38000</v>
      </c>
      <c r="AE30" s="3">
        <v>70000</v>
      </c>
      <c r="AF30" s="3"/>
      <c r="AG30" s="3"/>
      <c r="AH30" s="3"/>
      <c r="AI30" s="3"/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/>
      <c r="AR30" s="3"/>
      <c r="AS30" s="3"/>
      <c r="AT30" s="3"/>
      <c r="AU30" s="3"/>
      <c r="AV30" s="3">
        <v>65000</v>
      </c>
      <c r="AW30" s="3">
        <v>70000</v>
      </c>
      <c r="AX30" s="3">
        <v>190000</v>
      </c>
      <c r="AY30" s="3">
        <v>87000</v>
      </c>
      <c r="AZ30" s="3">
        <v>140000</v>
      </c>
      <c r="BA30" s="3">
        <v>40000</v>
      </c>
      <c r="BB30" s="3">
        <v>2000</v>
      </c>
      <c r="BC30" s="3">
        <v>95000</v>
      </c>
      <c r="BD30" s="3"/>
      <c r="BE30" s="3"/>
      <c r="BF30" s="3"/>
      <c r="BG30" s="3"/>
      <c r="BH30" s="3">
        <v>-15000</v>
      </c>
      <c r="BI30" s="3">
        <v>-15000</v>
      </c>
      <c r="BJ30" s="3">
        <v>-50000</v>
      </c>
      <c r="BK30" s="3">
        <v>-25000</v>
      </c>
      <c r="BL30" s="3">
        <v>-15000</v>
      </c>
      <c r="BM30" s="3">
        <v>-25000</v>
      </c>
      <c r="BN30" s="3">
        <v>-40000</v>
      </c>
      <c r="BO30" s="3">
        <v>-25000</v>
      </c>
      <c r="BP30" s="3"/>
      <c r="BQ30" s="3"/>
      <c r="BR30" s="3"/>
      <c r="BS30" s="3"/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/>
      <c r="CB30" s="1"/>
      <c r="CC30" s="1"/>
      <c r="CD30" s="1"/>
      <c r="CE30" s="1"/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/>
      <c r="CO30" s="1"/>
      <c r="CP30" s="1"/>
      <c r="CQ30" s="1"/>
      <c r="CR30" s="1">
        <v>1</v>
      </c>
      <c r="CS30" s="1">
        <v>1</v>
      </c>
      <c r="CT30" s="1">
        <v>1</v>
      </c>
      <c r="CU30" s="1">
        <v>1</v>
      </c>
      <c r="CV30" s="1">
        <v>1</v>
      </c>
      <c r="CW30" s="1">
        <v>1</v>
      </c>
      <c r="CX30" s="1">
        <v>1</v>
      </c>
      <c r="CY30" s="1">
        <v>1</v>
      </c>
      <c r="CZ30" s="1"/>
      <c r="DA30" s="1"/>
      <c r="DB30" s="1"/>
      <c r="DC30" s="1"/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/>
      <c r="DM30" s="1"/>
      <c r="DN30" s="1"/>
      <c r="DO30" s="1"/>
      <c r="DP30" s="1">
        <v>1</v>
      </c>
      <c r="DQ30" s="1">
        <v>2</v>
      </c>
      <c r="DR30" s="1">
        <v>3</v>
      </c>
      <c r="DS30" s="1">
        <v>4</v>
      </c>
      <c r="DT30" s="1">
        <v>5</v>
      </c>
      <c r="DU30" s="1">
        <v>6</v>
      </c>
      <c r="DV30" s="1">
        <v>7</v>
      </c>
      <c r="DW30" s="1">
        <v>8</v>
      </c>
      <c r="DX30" s="1"/>
      <c r="DY30" s="1"/>
      <c r="DZ30" s="1"/>
      <c r="EA30" s="1"/>
    </row>
    <row r="31" spans="1:131" x14ac:dyDescent="0.3">
      <c r="A31">
        <v>7521190</v>
      </c>
      <c r="B31" s="1" t="s">
        <v>179</v>
      </c>
      <c r="C31" s="1" t="s">
        <v>139</v>
      </c>
      <c r="D31" s="1">
        <v>2013</v>
      </c>
      <c r="E31" s="1">
        <v>1</v>
      </c>
      <c r="F31" s="10">
        <f>Table3[[#This Row],[First season 
with SF]]+Table3[[#This Row],['# Services 
provided]]</f>
        <v>10</v>
      </c>
      <c r="G31" s="26">
        <f>(Table3[[#This Row],[Total Income 
(Race + Price 
sold + Offs - maintenance cost)]]-Table3[[#This Row],[Price 
Bought]])/Table3[[#This Row],[Price 
Bought]]</f>
        <v>19.846002336056188</v>
      </c>
      <c r="H31" s="31">
        <f>Table3[[#This Row],[Race 
earnings]]+Table3[[#This Row],[Price 
Sold]]-Table3[[#This Row],[Maintenance cost]]+Table3[[#This Row],[Total 
profit (Income - cost)]]</f>
        <v>1365308.923</v>
      </c>
      <c r="I31" s="3">
        <f>_xlfn.IFNA(VLOOKUP(Table3[[#This Row],[damId]],Sheet1!$A$2:$M$970,5, FALSE), VLOOKUP(Table3[[#This Row],[dam]],Sheet1!$B$2:$M$970,4, FALSE))</f>
        <v>0</v>
      </c>
      <c r="J31" s="3">
        <f>_xlfn.IFNA(VLOOKUP(Table3[[#This Row],[damId]],Sheet1!$A$2:$M$970,13, FALSE), VLOOKUP(Table3[[#This Row],[dam]],Sheet1!$B$2:$M$970,13, FALSE))</f>
        <v>-65495</v>
      </c>
      <c r="K31" s="3">
        <f>_xlfn.IFNA(VLOOKUP(Table3[[#This Row],[damId]],Sheet1!$A$2:$M$970,11, FALSE), VLOOKUP(Table3[[#This Row],[dam]],Sheet1!$B$2:$M$970,11, FALSE))</f>
        <v>65495</v>
      </c>
      <c r="L31" s="3">
        <f>_xlfn.IFNA(VLOOKUP(Table3[[#This Row],[damId]],Sheet1!$A$2:$M$970,12, FALSE), VLOOKUP(Table3[[#This Row],[dam]],Sheet1!$B$2:$M$970,12, FALSE))</f>
        <v>0</v>
      </c>
      <c r="M31" s="3">
        <f>_xlfn.IFNA(VLOOKUP(Table3[[#This Row],[damId]],Sheet1!$A$2:$T$970,20, FALSE), VLOOKUP(Table3[[#This Row],[dam]],Sheet1!$B$2:$T$970,20, FALSE))*Sheet1!$AD$3</f>
        <v>213452.1</v>
      </c>
      <c r="N31" s="3">
        <f>Table3[[#This Row],[Total 
income (Earnings + value - stud fee)]]-Table3[[#This Row],[Maintenance cost ]]</f>
        <v>1578761.023</v>
      </c>
      <c r="O31" s="3">
        <f>SUM(Table3[[#This Row],[income1]:[income12]])</f>
        <v>1681295.263</v>
      </c>
      <c r="P31" s="3">
        <f>_xlfn.IFNA(VLOOKUP(Table3[[#This Row],[damId]],Sheet1!$A$2:$Y$970,23, FALSE), VLOOKUP(Table3[[#This Row],[dam]],Sheet1!$B$2:$Y$970,23, FALSE))*Sheet1!$AD$3</f>
        <v>102534.24</v>
      </c>
      <c r="Q31" s="3">
        <f>SUM(Table3[[#This Row],[earningsInRaces1]:[earningsInRaces12]])</f>
        <v>111780</v>
      </c>
      <c r="R31" s="3">
        <f>SUM(Table3[[#This Row],[auctionPrice1]:[auctionPrice12]])</f>
        <v>1824706</v>
      </c>
      <c r="S31" s="3">
        <f>SUM(Table3[[#This Row],[studFeeUSD1]:[studFeeUSD12]])</f>
        <v>-255190.70600000001</v>
      </c>
      <c r="T31" s="7">
        <f>COUNT(Table3[[#This Row],[successfulService1]:[successfulService12]])</f>
        <v>9</v>
      </c>
      <c r="U31" s="7">
        <f>SUM(Table3[[#This Row],[successfulService1]:[successfulService12]])</f>
        <v>8</v>
      </c>
      <c r="V31" s="7">
        <f>SUM(Table3[[#This Row],[soldInAuction1]:[soldInAuction12]])</f>
        <v>7</v>
      </c>
      <c r="W31" s="7">
        <f>SUM(Table3[[#This Row],[foreignHorse1]:[foreignHorse12]])</f>
        <v>7</v>
      </c>
      <c r="X31" s="3">
        <v>68787.09</v>
      </c>
      <c r="Y31" s="3">
        <v>57221.48</v>
      </c>
      <c r="Z31" s="3">
        <v>-10843.37</v>
      </c>
      <c r="AA31" s="3">
        <v>3702.1529999999998</v>
      </c>
      <c r="AB31" s="3">
        <v>987787.4</v>
      </c>
      <c r="AC31" s="3">
        <v>257442</v>
      </c>
      <c r="AD31" s="3">
        <v>50151.23</v>
      </c>
      <c r="AE31" s="3">
        <v>76291.28</v>
      </c>
      <c r="AF31" s="3">
        <v>190756</v>
      </c>
      <c r="AG31" s="3"/>
      <c r="AH31" s="3"/>
      <c r="AI31" s="3"/>
      <c r="AJ31" s="3">
        <v>0</v>
      </c>
      <c r="AK31" s="3"/>
      <c r="AL31" s="3"/>
      <c r="AM31" s="3"/>
      <c r="AN31" s="3">
        <v>0</v>
      </c>
      <c r="AO31" s="3"/>
      <c r="AP31" s="3"/>
      <c r="AQ31" s="3">
        <v>111780</v>
      </c>
      <c r="AR31" s="3"/>
      <c r="AS31" s="3"/>
      <c r="AT31" s="3"/>
      <c r="AU31" s="3"/>
      <c r="AV31" s="3">
        <v>80400</v>
      </c>
      <c r="AW31" s="3">
        <v>66654</v>
      </c>
      <c r="AX31" s="3"/>
      <c r="AY31" s="3">
        <v>16106</v>
      </c>
      <c r="AZ31" s="3">
        <v>1029420</v>
      </c>
      <c r="BA31" s="3">
        <v>305003</v>
      </c>
      <c r="BB31" s="3">
        <v>115929</v>
      </c>
      <c r="BC31" s="3"/>
      <c r="BD31" s="3">
        <v>211194</v>
      </c>
      <c r="BE31" s="3"/>
      <c r="BF31" s="3"/>
      <c r="BG31" s="3"/>
      <c r="BH31" s="3">
        <v>-11612.9</v>
      </c>
      <c r="BI31" s="3">
        <v>-9432.5159999999996</v>
      </c>
      <c r="BJ31" s="3">
        <v>-10843.37</v>
      </c>
      <c r="BK31" s="3">
        <v>-12403.85</v>
      </c>
      <c r="BL31" s="3">
        <v>-41632.65</v>
      </c>
      <c r="BM31" s="3">
        <v>-47560.97</v>
      </c>
      <c r="BN31" s="3">
        <v>-65777.77</v>
      </c>
      <c r="BO31" s="3">
        <v>-35488.720000000001</v>
      </c>
      <c r="BP31" s="3">
        <v>-20437.96</v>
      </c>
      <c r="BQ31" s="3"/>
      <c r="BR31" s="3"/>
      <c r="BS31" s="3"/>
      <c r="BT31" s="1">
        <v>0</v>
      </c>
      <c r="BU31" s="1"/>
      <c r="BV31" s="1"/>
      <c r="BW31" s="1"/>
      <c r="BX31" s="1">
        <v>0</v>
      </c>
      <c r="BY31" s="1"/>
      <c r="BZ31" s="1"/>
      <c r="CA31" s="1">
        <v>1</v>
      </c>
      <c r="CB31" s="1"/>
      <c r="CC31" s="1"/>
      <c r="CD31" s="1"/>
      <c r="CE31" s="1"/>
      <c r="CF31" s="1">
        <v>1</v>
      </c>
      <c r="CG31" s="1">
        <v>1</v>
      </c>
      <c r="CH31" s="1">
        <v>0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/>
      <c r="CP31" s="1"/>
      <c r="CQ31" s="1"/>
      <c r="CR31" s="1">
        <v>1</v>
      </c>
      <c r="CS31" s="1">
        <v>1</v>
      </c>
      <c r="CT31" s="1">
        <v>0</v>
      </c>
      <c r="CU31" s="1">
        <v>1</v>
      </c>
      <c r="CV31" s="1">
        <v>1</v>
      </c>
      <c r="CW31" s="1">
        <v>1</v>
      </c>
      <c r="CX31" s="1">
        <v>1</v>
      </c>
      <c r="CY31" s="1">
        <v>0</v>
      </c>
      <c r="CZ31" s="1">
        <v>1</v>
      </c>
      <c r="DA31" s="1"/>
      <c r="DB31" s="1"/>
      <c r="DC31" s="1"/>
      <c r="DD31" s="1">
        <v>1</v>
      </c>
      <c r="DE31" s="1">
        <v>1</v>
      </c>
      <c r="DF31" s="1">
        <v>0</v>
      </c>
      <c r="DG31" s="1">
        <v>1</v>
      </c>
      <c r="DH31" s="1">
        <v>1</v>
      </c>
      <c r="DI31" s="1">
        <v>1</v>
      </c>
      <c r="DJ31" s="1">
        <v>1</v>
      </c>
      <c r="DK31" s="1">
        <v>1</v>
      </c>
      <c r="DL31" s="1">
        <v>0</v>
      </c>
      <c r="DM31" s="1"/>
      <c r="DN31" s="1"/>
      <c r="DO31" s="1"/>
      <c r="DP31" s="1">
        <v>1</v>
      </c>
      <c r="DQ31" s="1">
        <v>2</v>
      </c>
      <c r="DR31" s="1">
        <v>3</v>
      </c>
      <c r="DS31" s="1">
        <v>4</v>
      </c>
      <c r="DT31" s="1">
        <v>5</v>
      </c>
      <c r="DU31" s="1">
        <v>6</v>
      </c>
      <c r="DV31" s="1">
        <v>8</v>
      </c>
      <c r="DW31" s="1">
        <v>9</v>
      </c>
      <c r="DX31" s="1">
        <v>10</v>
      </c>
      <c r="DY31" s="1"/>
      <c r="DZ31" s="1"/>
      <c r="EA31" s="1"/>
    </row>
    <row r="32" spans="1:131" x14ac:dyDescent="0.3">
      <c r="A32">
        <v>7728149</v>
      </c>
      <c r="B32" s="1" t="s">
        <v>195</v>
      </c>
      <c r="C32" s="1" t="s">
        <v>24</v>
      </c>
      <c r="D32" s="1">
        <v>2013</v>
      </c>
      <c r="E32" s="1">
        <v>1</v>
      </c>
      <c r="F32" s="10">
        <f>Table3[[#This Row],[First season 
with SF]]+Table3[[#This Row],['# Services 
provided]]</f>
        <v>6</v>
      </c>
      <c r="G32" s="26">
        <f>(Table3[[#This Row],[Total Income 
(Race + Price 
sold + Offs - maintenance cost)]]-Table3[[#This Row],[Price 
Bought]])/Table3[[#This Row],[Price 
Bought]]</f>
        <v>-0.24231965333333333</v>
      </c>
      <c r="H32" s="31">
        <f>Table3[[#This Row],[Race 
earnings]]+Table3[[#This Row],[Price 
Sold]]-Table3[[#This Row],[Maintenance cost]]+Table3[[#This Row],[Total 
profit (Income - cost)]]</f>
        <v>284130.13</v>
      </c>
      <c r="I32" s="3">
        <f>_xlfn.IFNA(VLOOKUP(Table3[[#This Row],[damId]],Sheet1!$A$2:$M$970,5, FALSE), VLOOKUP(Table3[[#This Row],[dam]],Sheet1!$B$2:$M$970,4, FALSE))</f>
        <v>0</v>
      </c>
      <c r="J32" s="3">
        <f>_xlfn.IFNA(VLOOKUP(Table3[[#This Row],[damId]],Sheet1!$A$2:$M$970,13, FALSE), VLOOKUP(Table3[[#This Row],[dam]],Sheet1!$B$2:$M$970,13, FALSE))</f>
        <v>-190000</v>
      </c>
      <c r="K32" s="3">
        <f>_xlfn.IFNA(VLOOKUP(Table3[[#This Row],[damId]],Sheet1!$A$2:$M$970,11, FALSE), VLOOKUP(Table3[[#This Row],[dam]],Sheet1!$B$2:$M$970,11, FALSE))</f>
        <v>375000</v>
      </c>
      <c r="L32" s="3">
        <f>_xlfn.IFNA(VLOOKUP(Table3[[#This Row],[damId]],Sheet1!$A$2:$M$970,12, FALSE), VLOOKUP(Table3[[#This Row],[dam]],Sheet1!$B$2:$M$970,12, FALSE))</f>
        <v>185000</v>
      </c>
      <c r="M32" s="3">
        <f>_xlfn.IFNA(VLOOKUP(Table3[[#This Row],[damId]],Sheet1!$A$2:$T$970,20, FALSE), VLOOKUP(Table3[[#This Row],[dam]],Sheet1!$B$2:$T$970,20, FALSE))*Sheet1!$AD$3</f>
        <v>76232.88</v>
      </c>
      <c r="N32" s="3">
        <f>Table3[[#This Row],[Total 
income (Earnings + value - stud fee)]]-Table3[[#This Row],[Maintenance cost ]]</f>
        <v>175363.01</v>
      </c>
      <c r="O32" s="3">
        <f>SUM(Table3[[#This Row],[income1]:[income12]])</f>
        <v>228500</v>
      </c>
      <c r="P32" s="3">
        <f>_xlfn.IFNA(VLOOKUP(Table3[[#This Row],[damId]],Sheet1!$A$2:$Y$970,23, FALSE), VLOOKUP(Table3[[#This Row],[dam]],Sheet1!$B$2:$Y$970,23, FALSE))*Sheet1!$AD$3</f>
        <v>53136.990000000005</v>
      </c>
      <c r="Q32" s="3">
        <f>SUM(Table3[[#This Row],[earningsInRaces1]:[earningsInRaces12]])</f>
        <v>0</v>
      </c>
      <c r="R32" s="3">
        <f>SUM(Table3[[#This Row],[auctionPrice1]:[auctionPrice12]])</f>
        <v>388500</v>
      </c>
      <c r="S32" s="3">
        <f>SUM(Table3[[#This Row],[studFeeUSD1]:[studFeeUSD12]])</f>
        <v>-160000</v>
      </c>
      <c r="T32" s="7">
        <f>COUNT(Table3[[#This Row],[successfulService1]:[successfulService12]])</f>
        <v>5</v>
      </c>
      <c r="U32" s="7">
        <f>SUM(Table3[[#This Row],[successfulService1]:[successfulService12]])</f>
        <v>5</v>
      </c>
      <c r="V32" s="7">
        <f>SUM(Table3[[#This Row],[soldInAuction1]:[soldInAuction12]])</f>
        <v>5</v>
      </c>
      <c r="W32" s="7">
        <f>SUM(Table3[[#This Row],[foreignHorse1]:[foreignHorse12]])</f>
        <v>0</v>
      </c>
      <c r="X32" s="3">
        <v>105000</v>
      </c>
      <c r="Y32" s="3">
        <v>97000</v>
      </c>
      <c r="Z32" s="3">
        <v>0</v>
      </c>
      <c r="AA32" s="3">
        <v>45000</v>
      </c>
      <c r="AB32" s="3">
        <v>-18500</v>
      </c>
      <c r="AC32" s="3"/>
      <c r="AD32" s="3"/>
      <c r="AE32" s="3"/>
      <c r="AF32" s="3"/>
      <c r="AG32" s="3"/>
      <c r="AH32" s="3"/>
      <c r="AI32" s="3"/>
      <c r="AJ32" s="3">
        <v>0</v>
      </c>
      <c r="AK32" s="3">
        <v>0</v>
      </c>
      <c r="AL32" s="3"/>
      <c r="AM32" s="3">
        <v>0</v>
      </c>
      <c r="AN32" s="3"/>
      <c r="AO32" s="3"/>
      <c r="AP32" s="3"/>
      <c r="AQ32" s="3"/>
      <c r="AR32" s="3"/>
      <c r="AS32" s="3"/>
      <c r="AT32" s="3"/>
      <c r="AU32" s="3"/>
      <c r="AV32" s="3">
        <v>190000</v>
      </c>
      <c r="AW32" s="3">
        <v>112000</v>
      </c>
      <c r="AX32" s="3">
        <v>20000</v>
      </c>
      <c r="AY32" s="3">
        <v>60000</v>
      </c>
      <c r="AZ32" s="3">
        <v>6500</v>
      </c>
      <c r="BA32" s="3"/>
      <c r="BB32" s="3"/>
      <c r="BC32" s="3"/>
      <c r="BD32" s="3"/>
      <c r="BE32" s="3"/>
      <c r="BF32" s="3"/>
      <c r="BG32" s="3"/>
      <c r="BH32" s="3">
        <v>-85000</v>
      </c>
      <c r="BI32" s="3">
        <v>-15000</v>
      </c>
      <c r="BJ32" s="3">
        <v>-20000</v>
      </c>
      <c r="BK32" s="3">
        <v>-15000</v>
      </c>
      <c r="BL32" s="3">
        <v>-25000</v>
      </c>
      <c r="BM32" s="3"/>
      <c r="BN32" s="3"/>
      <c r="BO32" s="3"/>
      <c r="BP32" s="3"/>
      <c r="BQ32" s="3"/>
      <c r="BR32" s="3"/>
      <c r="BS32" s="3"/>
      <c r="BT32" s="1">
        <v>0</v>
      </c>
      <c r="BU32" s="1">
        <v>0</v>
      </c>
      <c r="BV32" s="1"/>
      <c r="BW32" s="1">
        <v>0</v>
      </c>
      <c r="BX32" s="1"/>
      <c r="BY32" s="1"/>
      <c r="BZ32" s="1"/>
      <c r="CA32" s="1"/>
      <c r="CB32" s="1"/>
      <c r="CC32" s="1"/>
      <c r="CD32" s="1"/>
      <c r="CE32" s="1"/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/>
      <c r="CL32" s="1"/>
      <c r="CM32" s="1"/>
      <c r="CN32" s="1"/>
      <c r="CO32" s="1"/>
      <c r="CP32" s="1"/>
      <c r="CQ32" s="1"/>
      <c r="CR32" s="1">
        <v>1</v>
      </c>
      <c r="CS32" s="1">
        <v>1</v>
      </c>
      <c r="CT32" s="1">
        <v>1</v>
      </c>
      <c r="CU32" s="1">
        <v>1</v>
      </c>
      <c r="CV32" s="1">
        <v>1</v>
      </c>
      <c r="CW32" s="1"/>
      <c r="CX32" s="1"/>
      <c r="CY32" s="1"/>
      <c r="CZ32" s="1"/>
      <c r="DA32" s="1"/>
      <c r="DB32" s="1"/>
      <c r="DC32" s="1"/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/>
      <c r="DJ32" s="1"/>
      <c r="DK32" s="1"/>
      <c r="DL32" s="1"/>
      <c r="DM32" s="1"/>
      <c r="DN32" s="1"/>
      <c r="DO32" s="1"/>
      <c r="DP32" s="1">
        <v>1</v>
      </c>
      <c r="DQ32" s="1">
        <v>2</v>
      </c>
      <c r="DR32" s="1">
        <v>3</v>
      </c>
      <c r="DS32" s="1">
        <v>4</v>
      </c>
      <c r="DT32" s="1">
        <v>5</v>
      </c>
      <c r="DU32" s="1"/>
      <c r="DV32" s="1"/>
      <c r="DW32" s="1"/>
      <c r="DX32" s="1"/>
      <c r="DY32" s="1"/>
      <c r="DZ32" s="1"/>
      <c r="EA32" s="1"/>
    </row>
    <row r="33" spans="1:131" x14ac:dyDescent="0.3">
      <c r="A33">
        <v>7766245</v>
      </c>
      <c r="B33" s="1" t="s">
        <v>211</v>
      </c>
      <c r="C33" s="1" t="s">
        <v>139</v>
      </c>
      <c r="D33" s="1">
        <v>2013</v>
      </c>
      <c r="E33" s="1">
        <v>1</v>
      </c>
      <c r="F33" s="10">
        <f>Table3[[#This Row],[First season 
with SF]]+Table3[[#This Row],['# Services 
provided]]</f>
        <v>2</v>
      </c>
      <c r="G33" s="26">
        <f>(Table3[[#This Row],[Total Income 
(Race + Price 
sold + Offs - maintenance cost)]]-Table3[[#This Row],[Price 
Bought]])/Table3[[#This Row],[Price 
Bought]]</f>
        <v>6.3738813333333342</v>
      </c>
      <c r="H33" s="31">
        <f>Table3[[#This Row],[Race 
earnings]]+Table3[[#This Row],[Price 
Sold]]-Table3[[#This Row],[Maintenance cost]]+Table3[[#This Row],[Total 
profit (Income - cost)]]</f>
        <v>1106082.2000000002</v>
      </c>
      <c r="I33" s="3">
        <f>_xlfn.IFNA(VLOOKUP(Table3[[#This Row],[damId]],Sheet1!$A$2:$M$970,5, FALSE), VLOOKUP(Table3[[#This Row],[dam]],Sheet1!$B$2:$M$970,4, FALSE))</f>
        <v>0</v>
      </c>
      <c r="J33" s="3">
        <f>_xlfn.IFNA(VLOOKUP(Table3[[#This Row],[damId]],Sheet1!$A$2:$M$970,13, FALSE), VLOOKUP(Table3[[#This Row],[dam]],Sheet1!$B$2:$M$970,13, FALSE))</f>
        <v>950000</v>
      </c>
      <c r="K33" s="3">
        <f>_xlfn.IFNA(VLOOKUP(Table3[[#This Row],[damId]],Sheet1!$A$2:$M$970,11, FALSE), VLOOKUP(Table3[[#This Row],[dam]],Sheet1!$B$2:$M$970,11, FALSE))</f>
        <v>150000</v>
      </c>
      <c r="L33" s="3">
        <f>_xlfn.IFNA(VLOOKUP(Table3[[#This Row],[damId]],Sheet1!$A$2:$M$970,12, FALSE), VLOOKUP(Table3[[#This Row],[dam]],Sheet1!$B$2:$M$970,12, FALSE))</f>
        <v>1100000</v>
      </c>
      <c r="M33" s="3">
        <f>_xlfn.IFNA(VLOOKUP(Table3[[#This Row],[damId]],Sheet1!$A$2:$T$970,20, FALSE), VLOOKUP(Table3[[#This Row],[dam]],Sheet1!$B$2:$T$970,20, FALSE))*Sheet1!$AD$3</f>
        <v>29958.9</v>
      </c>
      <c r="N33" s="3">
        <f>Table3[[#This Row],[Total 
income (Earnings + value - stud fee)]]-Table3[[#This Row],[Maintenance cost ]]</f>
        <v>36041.100000000006</v>
      </c>
      <c r="O33" s="3">
        <f>SUM(Table3[[#This Row],[income1]:[income12]])</f>
        <v>60000</v>
      </c>
      <c r="P33" s="3">
        <f>_xlfn.IFNA(VLOOKUP(Table3[[#This Row],[damId]],Sheet1!$A$2:$Y$970,23, FALSE), VLOOKUP(Table3[[#This Row],[dam]],Sheet1!$B$2:$Y$970,23, FALSE))*Sheet1!$AD$3</f>
        <v>23958.899999999998</v>
      </c>
      <c r="Q33" s="3">
        <f>SUM(Table3[[#This Row],[earningsInRaces1]:[earningsInRaces12]])</f>
        <v>0</v>
      </c>
      <c r="R33" s="3">
        <f>SUM(Table3[[#This Row],[auctionPrice1]:[auctionPrice12]])</f>
        <v>80000</v>
      </c>
      <c r="S33" s="3">
        <f>SUM(Table3[[#This Row],[studFeeUSD1]:[studFeeUSD12]])</f>
        <v>-20000</v>
      </c>
      <c r="T33" s="7">
        <f>COUNT(Table3[[#This Row],[successfulService1]:[successfulService12]])</f>
        <v>1</v>
      </c>
      <c r="U33" s="7">
        <f>SUM(Table3[[#This Row],[successfulService1]:[successfulService12]])</f>
        <v>1</v>
      </c>
      <c r="V33" s="7">
        <f>SUM(Table3[[#This Row],[soldInAuction1]:[soldInAuction12]])</f>
        <v>1</v>
      </c>
      <c r="W33" s="7">
        <f>SUM(Table3[[#This Row],[foreignHorse1]:[foreignHorse12]])</f>
        <v>0</v>
      </c>
      <c r="X33" s="3">
        <v>60000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>
        <v>0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>
        <v>80000</v>
      </c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>
        <v>-20000</v>
      </c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1">
        <v>0</v>
      </c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>
        <v>1</v>
      </c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>
        <v>1</v>
      </c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>
        <v>0</v>
      </c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>
        <v>1</v>
      </c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</row>
    <row r="34" spans="1:131" x14ac:dyDescent="0.3">
      <c r="A34">
        <v>8004572</v>
      </c>
      <c r="B34" s="1" t="s">
        <v>228</v>
      </c>
      <c r="C34" s="1" t="s">
        <v>24</v>
      </c>
      <c r="D34" s="1">
        <v>2013</v>
      </c>
      <c r="E34" s="1">
        <v>2</v>
      </c>
      <c r="F34" s="10">
        <f>Table3[[#This Row],[First season 
with SF]]+Table3[[#This Row],['# Services 
provided]]</f>
        <v>3</v>
      </c>
      <c r="G34" s="26">
        <f>(Table3[[#This Row],[Total Income 
(Race + Price 
sold + Offs - maintenance cost)]]-Table3[[#This Row],[Price 
Bought]])/Table3[[#This Row],[Price 
Bought]]</f>
        <v>0.11919915384615377</v>
      </c>
      <c r="H34" s="31">
        <f>Table3[[#This Row],[Race 
earnings]]+Table3[[#This Row],[Price 
Sold]]-Table3[[#This Row],[Maintenance cost]]+Table3[[#This Row],[Total 
profit (Income - cost)]]</f>
        <v>363739.72499999998</v>
      </c>
      <c r="I34" s="3">
        <f>_xlfn.IFNA(VLOOKUP(Table3[[#This Row],[damId]],Sheet1!$A$2:$M$970,5, FALSE), VLOOKUP(Table3[[#This Row],[dam]],Sheet1!$B$2:$M$970,4, FALSE))</f>
        <v>0</v>
      </c>
      <c r="J34" s="3">
        <f>_xlfn.IFNA(VLOOKUP(Table3[[#This Row],[damId]],Sheet1!$A$2:$M$970,13, FALSE), VLOOKUP(Table3[[#This Row],[dam]],Sheet1!$B$2:$M$970,13, FALSE))</f>
        <v>-50000</v>
      </c>
      <c r="K34" s="3">
        <f>_xlfn.IFNA(VLOOKUP(Table3[[#This Row],[damId]],Sheet1!$A$2:$M$970,11, FALSE), VLOOKUP(Table3[[#This Row],[dam]],Sheet1!$B$2:$M$970,11, FALSE))</f>
        <v>325000</v>
      </c>
      <c r="L34" s="3">
        <f>_xlfn.IFNA(VLOOKUP(Table3[[#This Row],[damId]],Sheet1!$A$2:$M$970,12, FALSE), VLOOKUP(Table3[[#This Row],[dam]],Sheet1!$B$2:$M$970,12, FALSE))</f>
        <v>275000</v>
      </c>
      <c r="M34" s="3">
        <f>_xlfn.IFNA(VLOOKUP(Table3[[#This Row],[damId]],Sheet1!$A$2:$T$970,20, FALSE), VLOOKUP(Table3[[#This Row],[dam]],Sheet1!$B$2:$T$970,20, FALSE))*Sheet1!$AD$3</f>
        <v>15000</v>
      </c>
      <c r="N34" s="3">
        <f>Table3[[#This Row],[Total 
income (Earnings + value - stud fee)]]-Table3[[#This Row],[Maintenance cost ]]</f>
        <v>103739.72500000001</v>
      </c>
      <c r="O34" s="3">
        <f>SUM(Table3[[#This Row],[income1]:[income12]])</f>
        <v>130000</v>
      </c>
      <c r="P34" s="3">
        <f>_xlfn.IFNA(VLOOKUP(Table3[[#This Row],[damId]],Sheet1!$A$2:$Y$970,23, FALSE), VLOOKUP(Table3[[#This Row],[dam]],Sheet1!$B$2:$Y$970,23, FALSE))*Sheet1!$AD$3</f>
        <v>26260.275000000001</v>
      </c>
      <c r="Q34" s="3">
        <f>SUM(Table3[[#This Row],[earningsInRaces1]:[earningsInRaces12]])</f>
        <v>0</v>
      </c>
      <c r="R34" s="3">
        <f>SUM(Table3[[#This Row],[auctionPrice1]:[auctionPrice12]])</f>
        <v>130000</v>
      </c>
      <c r="S34" s="3">
        <f>SUM(Table3[[#This Row],[studFeeUSD1]:[studFeeUSD12]])</f>
        <v>0</v>
      </c>
      <c r="T34" s="7">
        <f>COUNT(Table3[[#This Row],[successfulService1]:[successfulService12]])</f>
        <v>1</v>
      </c>
      <c r="U34" s="7">
        <f>SUM(Table3[[#This Row],[successfulService1]:[successfulService12]])</f>
        <v>1</v>
      </c>
      <c r="V34" s="7">
        <f>SUM(Table3[[#This Row],[soldInAuction1]:[soldInAuction12]])</f>
        <v>1</v>
      </c>
      <c r="W34" s="7">
        <f>SUM(Table3[[#This Row],[foreignHorse1]:[foreignHorse12]])</f>
        <v>0</v>
      </c>
      <c r="X34" s="3">
        <v>130000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>
        <v>0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>
        <v>130000</v>
      </c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>
        <v>0</v>
      </c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1">
        <v>0</v>
      </c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>
        <v>1</v>
      </c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>
        <v>1</v>
      </c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>
        <v>0</v>
      </c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>
        <v>2</v>
      </c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</row>
    <row r="35" spans="1:131" x14ac:dyDescent="0.3">
      <c r="A35">
        <v>8032369</v>
      </c>
      <c r="B35" s="1" t="s">
        <v>232</v>
      </c>
      <c r="C35" s="1" t="s">
        <v>24</v>
      </c>
      <c r="D35" s="1">
        <v>2013</v>
      </c>
      <c r="E35" s="1">
        <v>2</v>
      </c>
      <c r="F35" s="10">
        <f>Table3[[#This Row],[First season 
with SF]]+Table3[[#This Row],['# Services 
provided]]</f>
        <v>8</v>
      </c>
      <c r="G35" s="26">
        <f>(Table3[[#This Row],[Total Income 
(Race + Price 
sold + Offs - maintenance cost)]]-Table3[[#This Row],[Price 
Bought]])/Table3[[#This Row],[Price 
Bought]]</f>
        <v>-0.30121753089996145</v>
      </c>
      <c r="H35" s="31">
        <f>Table3[[#This Row],[Race 
earnings]]+Table3[[#This Row],[Price 
Sold]]-Table3[[#This Row],[Maintenance cost]]+Table3[[#This Row],[Total 
profit (Income - cost)]]</f>
        <v>144731.82499999998</v>
      </c>
      <c r="I35" s="3">
        <f>_xlfn.IFNA(VLOOKUP(Table3[[#This Row],[damId]],Sheet1!$A$2:$M$970,5, FALSE), VLOOKUP(Table3[[#This Row],[dam]],Sheet1!$B$2:$M$970,4, FALSE))</f>
        <v>0</v>
      </c>
      <c r="J35" s="3">
        <f>_xlfn.IFNA(VLOOKUP(Table3[[#This Row],[damId]],Sheet1!$A$2:$M$970,13, FALSE), VLOOKUP(Table3[[#This Row],[dam]],Sheet1!$B$2:$M$970,13, FALSE))</f>
        <v>-196585</v>
      </c>
      <c r="K35" s="3">
        <f>_xlfn.IFNA(VLOOKUP(Table3[[#This Row],[damId]],Sheet1!$A$2:$M$970,11, FALSE), VLOOKUP(Table3[[#This Row],[dam]],Sheet1!$B$2:$M$970,11, FALSE))</f>
        <v>207120</v>
      </c>
      <c r="L35" s="3">
        <f>_xlfn.IFNA(VLOOKUP(Table3[[#This Row],[damId]],Sheet1!$A$2:$M$970,12, FALSE), VLOOKUP(Table3[[#This Row],[dam]],Sheet1!$B$2:$M$970,12, FALSE))</f>
        <v>10535</v>
      </c>
      <c r="M35" s="3">
        <f>_xlfn.IFNA(VLOOKUP(Table3[[#This Row],[damId]],Sheet1!$A$2:$T$970,20, FALSE), VLOOKUP(Table3[[#This Row],[dam]],Sheet1!$B$2:$T$970,20, FALSE))*Sheet1!$AD$3</f>
        <v>105739.72500000001</v>
      </c>
      <c r="N35" s="3">
        <f>Table3[[#This Row],[Total 
income (Earnings + value - stud fee)]]-Table3[[#This Row],[Maintenance cost ]]</f>
        <v>239936.55</v>
      </c>
      <c r="O35" s="3">
        <f>SUM(Table3[[#This Row],[income1]:[income12]])</f>
        <v>239936.55</v>
      </c>
      <c r="P35" s="3">
        <f>_xlfn.IFNA(VLOOKUP(Table3[[#This Row],[damId]],Sheet1!$A$2:$Y$970,23, FALSE), VLOOKUP(Table3[[#This Row],[dam]],Sheet1!$B$2:$Y$970,23, FALSE))*Sheet1!$AD$3</f>
        <v>0</v>
      </c>
      <c r="Q35" s="3">
        <f>SUM(Table3[[#This Row],[earningsInRaces1]:[earningsInRaces12]])</f>
        <v>0</v>
      </c>
      <c r="R35" s="3">
        <f>SUM(Table3[[#This Row],[auctionPrice1]:[auctionPrice12]])</f>
        <v>249139</v>
      </c>
      <c r="S35" s="3">
        <f>SUM(Table3[[#This Row],[studFeeUSD1]:[studFeeUSD12]])</f>
        <v>-9202.4539999999997</v>
      </c>
      <c r="T35" s="7">
        <f>COUNT(Table3[[#This Row],[successfulService1]:[successfulService12]])</f>
        <v>6</v>
      </c>
      <c r="U35" s="7">
        <f>SUM(Table3[[#This Row],[successfulService1]:[successfulService12]])</f>
        <v>6</v>
      </c>
      <c r="V35" s="7">
        <f>SUM(Table3[[#This Row],[soldInAuction1]:[soldInAuction12]])</f>
        <v>4</v>
      </c>
      <c r="W35" s="7">
        <f>SUM(Table3[[#This Row],[foreignHorse1]:[foreignHorse12]])</f>
        <v>5</v>
      </c>
      <c r="X35" s="3">
        <v>152660</v>
      </c>
      <c r="Y35" s="3">
        <v>24988.55</v>
      </c>
      <c r="Z35" s="3">
        <v>0</v>
      </c>
      <c r="AA35" s="3">
        <v>60223</v>
      </c>
      <c r="AB35" s="3">
        <v>2065</v>
      </c>
      <c r="AC35" s="3">
        <v>0</v>
      </c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>
        <v>152660</v>
      </c>
      <c r="AW35" s="3">
        <v>34191</v>
      </c>
      <c r="AX35" s="3"/>
      <c r="AY35" s="3">
        <v>60223</v>
      </c>
      <c r="AZ35" s="3">
        <v>2065</v>
      </c>
      <c r="BA35" s="3"/>
      <c r="BB35" s="3"/>
      <c r="BC35" s="3"/>
      <c r="BD35" s="3"/>
      <c r="BE35" s="3"/>
      <c r="BF35" s="3"/>
      <c r="BG35" s="3"/>
      <c r="BH35" s="3">
        <v>0</v>
      </c>
      <c r="BI35" s="3">
        <v>-9202.4539999999997</v>
      </c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/>
      <c r="CM35" s="1"/>
      <c r="CN35" s="1"/>
      <c r="CO35" s="1"/>
      <c r="CP35" s="1"/>
      <c r="CQ35" s="1"/>
      <c r="CR35" s="1">
        <v>1</v>
      </c>
      <c r="CS35" s="1">
        <v>1</v>
      </c>
      <c r="CT35" s="1">
        <v>0</v>
      </c>
      <c r="CU35" s="1">
        <v>1</v>
      </c>
      <c r="CV35" s="1">
        <v>1</v>
      </c>
      <c r="CW35" s="1">
        <v>0</v>
      </c>
      <c r="CX35" s="1"/>
      <c r="CY35" s="1"/>
      <c r="CZ35" s="1"/>
      <c r="DA35" s="1"/>
      <c r="DB35" s="1"/>
      <c r="DC35" s="1"/>
      <c r="DD35" s="1">
        <v>1</v>
      </c>
      <c r="DE35" s="1">
        <v>1</v>
      </c>
      <c r="DF35" s="1">
        <v>0</v>
      </c>
      <c r="DG35" s="1">
        <v>1</v>
      </c>
      <c r="DH35" s="1">
        <v>1</v>
      </c>
      <c r="DI35" s="1">
        <v>1</v>
      </c>
      <c r="DJ35" s="1"/>
      <c r="DK35" s="1"/>
      <c r="DL35" s="1"/>
      <c r="DM35" s="1"/>
      <c r="DN35" s="1"/>
      <c r="DO35" s="1"/>
      <c r="DP35" s="1">
        <v>2</v>
      </c>
      <c r="DQ35" s="1">
        <v>3</v>
      </c>
      <c r="DR35" s="1">
        <v>4</v>
      </c>
      <c r="DS35" s="1">
        <v>6</v>
      </c>
      <c r="DT35" s="1">
        <v>7</v>
      </c>
      <c r="DU35" s="1">
        <v>8</v>
      </c>
      <c r="DV35" s="1"/>
      <c r="DW35" s="1"/>
      <c r="DX35" s="1"/>
      <c r="DY35" s="1"/>
      <c r="DZ35" s="1"/>
      <c r="EA35" s="1"/>
    </row>
    <row r="36" spans="1:131" x14ac:dyDescent="0.3">
      <c r="A36">
        <v>8271232</v>
      </c>
      <c r="B36" s="1" t="s">
        <v>254</v>
      </c>
      <c r="C36" s="1" t="s">
        <v>24</v>
      </c>
      <c r="D36" s="1">
        <v>2013</v>
      </c>
      <c r="E36" s="1">
        <v>1</v>
      </c>
      <c r="F36" s="10">
        <f>Table3[[#This Row],[First season 
with SF]]+Table3[[#This Row],['# Services 
provided]]</f>
        <v>2</v>
      </c>
      <c r="G36" s="26">
        <f>(Table3[[#This Row],[Total Income 
(Race + Price 
sold + Offs - maintenance cost)]]-Table3[[#This Row],[Price 
Bought]])/Table3[[#This Row],[Price 
Bought]]</f>
        <v>-0.11017612142857147</v>
      </c>
      <c r="H36" s="31">
        <f>Table3[[#This Row],[Race 
earnings]]+Table3[[#This Row],[Price 
Sold]]-Table3[[#This Row],[Maintenance cost]]+Table3[[#This Row],[Total 
profit (Income - cost)]]</f>
        <v>62287.671499999997</v>
      </c>
      <c r="I36" s="3">
        <f>_xlfn.IFNA(VLOOKUP(Table3[[#This Row],[damId]],Sheet1!$A$2:$M$970,5, FALSE), VLOOKUP(Table3[[#This Row],[dam]],Sheet1!$B$2:$M$970,4, FALSE))</f>
        <v>0</v>
      </c>
      <c r="J36" s="3">
        <f>_xlfn.IFNA(VLOOKUP(Table3[[#This Row],[damId]],Sheet1!$A$2:$M$970,13, FALSE), VLOOKUP(Table3[[#This Row],[dam]],Sheet1!$B$2:$M$970,13, FALSE))</f>
        <v>10000</v>
      </c>
      <c r="K36" s="3">
        <f>_xlfn.IFNA(VLOOKUP(Table3[[#This Row],[damId]],Sheet1!$A$2:$M$970,11, FALSE), VLOOKUP(Table3[[#This Row],[dam]],Sheet1!$B$2:$M$970,11, FALSE))</f>
        <v>70000</v>
      </c>
      <c r="L36" s="3">
        <f>_xlfn.IFNA(VLOOKUP(Table3[[#This Row],[damId]],Sheet1!$A$2:$M$970,12, FALSE), VLOOKUP(Table3[[#This Row],[dam]],Sheet1!$B$2:$M$970,12, FALSE))</f>
        <v>80000</v>
      </c>
      <c r="M36" s="3">
        <f>_xlfn.IFNA(VLOOKUP(Table3[[#This Row],[damId]],Sheet1!$A$2:$T$970,20, FALSE), VLOOKUP(Table3[[#This Row],[dam]],Sheet1!$B$2:$T$970,20, FALSE))*Sheet1!$AD$3</f>
        <v>14958.904500000001</v>
      </c>
      <c r="N36" s="3">
        <f>Table3[[#This Row],[Total 
income (Earnings + value - stud fee)]]-Table3[[#This Row],[Maintenance cost ]]</f>
        <v>-2753.4240000000009</v>
      </c>
      <c r="O36" s="3">
        <f>SUM(Table3[[#This Row],[income1]:[income12]])</f>
        <v>12000</v>
      </c>
      <c r="P36" s="3">
        <f>_xlfn.IFNA(VLOOKUP(Table3[[#This Row],[damId]],Sheet1!$A$2:$Y$970,23, FALSE), VLOOKUP(Table3[[#This Row],[dam]],Sheet1!$B$2:$Y$970,23, FALSE))*Sheet1!$AD$3</f>
        <v>14753.424000000001</v>
      </c>
      <c r="Q36" s="3">
        <f>SUM(Table3[[#This Row],[earningsInRaces1]:[earningsInRaces12]])</f>
        <v>0</v>
      </c>
      <c r="R36" s="3">
        <f>SUM(Table3[[#This Row],[auctionPrice1]:[auctionPrice12]])</f>
        <v>12000</v>
      </c>
      <c r="S36" s="3">
        <f>SUM(Table3[[#This Row],[studFeeUSD1]:[studFeeUSD12]])</f>
        <v>0</v>
      </c>
      <c r="T36" s="7">
        <f>COUNT(Table3[[#This Row],[successfulService1]:[successfulService12]])</f>
        <v>1</v>
      </c>
      <c r="U36" s="7">
        <f>SUM(Table3[[#This Row],[successfulService1]:[successfulService12]])</f>
        <v>1</v>
      </c>
      <c r="V36" s="7">
        <f>SUM(Table3[[#This Row],[soldInAuction1]:[soldInAuction12]])</f>
        <v>1</v>
      </c>
      <c r="W36" s="7">
        <f>SUM(Table3[[#This Row],[foreignHorse1]:[foreignHorse12]])</f>
        <v>0</v>
      </c>
      <c r="X36" s="3">
        <v>12000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>
        <v>0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>
        <v>12000</v>
      </c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>
        <v>0</v>
      </c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1">
        <v>0</v>
      </c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>
        <v>1</v>
      </c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>
        <v>1</v>
      </c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>
        <v>0</v>
      </c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>
        <v>1</v>
      </c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</row>
    <row r="37" spans="1:131" x14ac:dyDescent="0.3">
      <c r="A37">
        <v>8404423</v>
      </c>
      <c r="B37" s="1" t="s">
        <v>284</v>
      </c>
      <c r="C37" s="1" t="s">
        <v>24</v>
      </c>
      <c r="D37" s="1">
        <v>2013</v>
      </c>
      <c r="E37" s="1">
        <v>1</v>
      </c>
      <c r="F37" s="10">
        <f>Table3[[#This Row],[First season 
with SF]]+Table3[[#This Row],['# Services 
provided]]</f>
        <v>2</v>
      </c>
      <c r="G37" s="26">
        <f>(Table3[[#This Row],[Total Income 
(Race + Price 
sold + Offs - maintenance cost)]]-Table3[[#This Row],[Price 
Bought]])/Table3[[#This Row],[Price 
Bought]]</f>
        <v>-0.12942466000000002</v>
      </c>
      <c r="H37" s="31">
        <f>Table3[[#This Row],[Race 
earnings]]+Table3[[#This Row],[Price 
Sold]]-Table3[[#This Row],[Maintenance cost]]+Table3[[#This Row],[Total 
profit (Income - cost)]]</f>
        <v>108821.9175</v>
      </c>
      <c r="I37" s="3">
        <f>_xlfn.IFNA(VLOOKUP(Table3[[#This Row],[damId]],Sheet1!$A$2:$M$970,5, FALSE), VLOOKUP(Table3[[#This Row],[dam]],Sheet1!$B$2:$M$970,4, FALSE))</f>
        <v>0</v>
      </c>
      <c r="J37" s="3">
        <f>_xlfn.IFNA(VLOOKUP(Table3[[#This Row],[damId]],Sheet1!$A$2:$M$970,13, FALSE), VLOOKUP(Table3[[#This Row],[dam]],Sheet1!$B$2:$M$970,13, FALSE))</f>
        <v>-45000</v>
      </c>
      <c r="K37" s="3">
        <f>_xlfn.IFNA(VLOOKUP(Table3[[#This Row],[damId]],Sheet1!$A$2:$M$970,11, FALSE), VLOOKUP(Table3[[#This Row],[dam]],Sheet1!$B$2:$M$970,11, FALSE))</f>
        <v>125000</v>
      </c>
      <c r="L37" s="3">
        <f>_xlfn.IFNA(VLOOKUP(Table3[[#This Row],[damId]],Sheet1!$A$2:$M$970,12, FALSE), VLOOKUP(Table3[[#This Row],[dam]],Sheet1!$B$2:$M$970,12, FALSE))</f>
        <v>80000</v>
      </c>
      <c r="M37" s="3">
        <f>_xlfn.IFNA(VLOOKUP(Table3[[#This Row],[damId]],Sheet1!$A$2:$T$970,20, FALSE), VLOOKUP(Table3[[#This Row],[dam]],Sheet1!$B$2:$T$970,20, FALSE))*Sheet1!$AD$3</f>
        <v>14917.807500000001</v>
      </c>
      <c r="N37" s="3">
        <f>Table3[[#This Row],[Total 
income (Earnings + value - stud fee)]]-Table3[[#This Row],[Maintenance cost ]]</f>
        <v>43739.724999999999</v>
      </c>
      <c r="O37" s="3">
        <f>SUM(Table3[[#This Row],[income1]:[income12]])</f>
        <v>67000</v>
      </c>
      <c r="P37" s="3">
        <f>_xlfn.IFNA(VLOOKUP(Table3[[#This Row],[damId]],Sheet1!$A$2:$Y$970,23, FALSE), VLOOKUP(Table3[[#This Row],[dam]],Sheet1!$B$2:$Y$970,23, FALSE))*Sheet1!$AD$3</f>
        <v>23260.275000000001</v>
      </c>
      <c r="Q37" s="3">
        <f>SUM(Table3[[#This Row],[earningsInRaces1]:[earningsInRaces12]])</f>
        <v>0</v>
      </c>
      <c r="R37" s="3">
        <f>SUM(Table3[[#This Row],[auctionPrice1]:[auctionPrice12]])</f>
        <v>67000</v>
      </c>
      <c r="S37" s="3">
        <f>SUM(Table3[[#This Row],[studFeeUSD1]:[studFeeUSD12]])</f>
        <v>0</v>
      </c>
      <c r="T37" s="7">
        <f>COUNT(Table3[[#This Row],[successfulService1]:[successfulService12]])</f>
        <v>1</v>
      </c>
      <c r="U37" s="7">
        <f>SUM(Table3[[#This Row],[successfulService1]:[successfulService12]])</f>
        <v>1</v>
      </c>
      <c r="V37" s="7">
        <f>SUM(Table3[[#This Row],[soldInAuction1]:[soldInAuction12]])</f>
        <v>1</v>
      </c>
      <c r="W37" s="7">
        <f>SUM(Table3[[#This Row],[foreignHorse1]:[foreignHorse12]])</f>
        <v>0</v>
      </c>
      <c r="X37" s="3">
        <v>67000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>
        <v>0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>
        <v>67000</v>
      </c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>
        <v>0</v>
      </c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1">
        <v>0</v>
      </c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>
        <v>1</v>
      </c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>
        <v>1</v>
      </c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>
        <v>0</v>
      </c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>
        <v>1</v>
      </c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</row>
    <row r="38" spans="1:131" x14ac:dyDescent="0.3">
      <c r="A38">
        <v>8420711</v>
      </c>
      <c r="B38" s="1" t="s">
        <v>286</v>
      </c>
      <c r="C38" s="1" t="s">
        <v>139</v>
      </c>
      <c r="D38" s="1">
        <v>2013</v>
      </c>
      <c r="E38" s="1">
        <v>1</v>
      </c>
      <c r="F38" s="10">
        <f>Table3[[#This Row],[First season 
with SF]]+Table3[[#This Row],['# Services 
provided]]</f>
        <v>3</v>
      </c>
      <c r="G38" s="26">
        <f>(Table3[[#This Row],[Total Income 
(Race + Price 
sold + Offs - maintenance cost)]]-Table3[[#This Row],[Price 
Bought]])/Table3[[#This Row],[Price 
Bought]]</f>
        <v>-0.95995071648618358</v>
      </c>
      <c r="H38" s="31">
        <f>Table3[[#This Row],[Race 
earnings]]+Table3[[#This Row],[Price 
Sold]]-Table3[[#This Row],[Maintenance cost]]+Table3[[#This Row],[Total 
profit (Income - cost)]]</f>
        <v>8580.158500000005</v>
      </c>
      <c r="I38" s="3">
        <f>_xlfn.IFNA(VLOOKUP(Table3[[#This Row],[damId]],Sheet1!$A$2:$M$970,5, FALSE), VLOOKUP(Table3[[#This Row],[dam]],Sheet1!$B$2:$M$970,4, FALSE))</f>
        <v>0</v>
      </c>
      <c r="J38" s="3">
        <f>_xlfn.IFNA(VLOOKUP(Table3[[#This Row],[damId]],Sheet1!$A$2:$M$970,13, FALSE), VLOOKUP(Table3[[#This Row],[dam]],Sheet1!$B$2:$M$970,13, FALSE))</f>
        <v>-98632</v>
      </c>
      <c r="K38" s="3">
        <f>_xlfn.IFNA(VLOOKUP(Table3[[#This Row],[damId]],Sheet1!$A$2:$M$970,11, FALSE), VLOOKUP(Table3[[#This Row],[dam]],Sheet1!$B$2:$M$970,11, FALSE))</f>
        <v>214240</v>
      </c>
      <c r="L38" s="3">
        <f>_xlfn.IFNA(VLOOKUP(Table3[[#This Row],[damId]],Sheet1!$A$2:$M$970,12, FALSE), VLOOKUP(Table3[[#This Row],[dam]],Sheet1!$B$2:$M$970,12, FALSE))</f>
        <v>115608</v>
      </c>
      <c r="M38" s="3">
        <f>_xlfn.IFNA(VLOOKUP(Table3[[#This Row],[damId]],Sheet1!$A$2:$T$970,20, FALSE), VLOOKUP(Table3[[#This Row],[dam]],Sheet1!$B$2:$T$970,20, FALSE))*Sheet1!$AD$3</f>
        <v>45000</v>
      </c>
      <c r="N38" s="3">
        <f>Table3[[#This Row],[Total 
income (Earnings + value - stud fee)]]-Table3[[#This Row],[Maintenance cost ]]</f>
        <v>-62027.841499999995</v>
      </c>
      <c r="O38" s="3">
        <f>SUM(Table3[[#This Row],[income1]:[income12]])</f>
        <v>-48548.39</v>
      </c>
      <c r="P38" s="3">
        <f>_xlfn.IFNA(VLOOKUP(Table3[[#This Row],[damId]],Sheet1!$A$2:$Y$970,23, FALSE), VLOOKUP(Table3[[#This Row],[dam]],Sheet1!$B$2:$Y$970,23, FALSE))*Sheet1!$AD$3</f>
        <v>13479.451499999999</v>
      </c>
      <c r="Q38" s="3">
        <f>SUM(Table3[[#This Row],[earningsInRaces1]:[earningsInRaces12]])</f>
        <v>0</v>
      </c>
      <c r="R38" s="3">
        <f>SUM(Table3[[#This Row],[auctionPrice1]:[auctionPrice12]])</f>
        <v>25000</v>
      </c>
      <c r="S38" s="3">
        <f>SUM(Table3[[#This Row],[studFeeUSD1]:[studFeeUSD12]])</f>
        <v>-73548.39</v>
      </c>
      <c r="T38" s="7">
        <f>COUNT(Table3[[#This Row],[successfulService1]:[successfulService12]])</f>
        <v>2</v>
      </c>
      <c r="U38" s="7">
        <f>SUM(Table3[[#This Row],[successfulService1]:[successfulService12]])</f>
        <v>2</v>
      </c>
      <c r="V38" s="7">
        <f>SUM(Table3[[#This Row],[soldInAuction1]:[soldInAuction12]])</f>
        <v>1</v>
      </c>
      <c r="W38" s="7">
        <f>SUM(Table3[[#This Row],[foreignHorse1]:[foreignHorse12]])</f>
        <v>0</v>
      </c>
      <c r="X38" s="3">
        <v>-13548.39</v>
      </c>
      <c r="Y38" s="3">
        <v>-35000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>
        <v>0</v>
      </c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>
        <v>25000</v>
      </c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>
        <v>-13548.39</v>
      </c>
      <c r="BI38" s="3">
        <v>-60000</v>
      </c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1"/>
      <c r="BU38" s="1">
        <v>0</v>
      </c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>
        <v>1</v>
      </c>
      <c r="CG38" s="1">
        <v>1</v>
      </c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>
        <v>0</v>
      </c>
      <c r="CS38" s="1">
        <v>1</v>
      </c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>
        <v>0</v>
      </c>
      <c r="DE38" s="1">
        <v>0</v>
      </c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>
        <v>1</v>
      </c>
      <c r="DQ38" s="1">
        <v>2</v>
      </c>
      <c r="DR38" s="1"/>
      <c r="DS38" s="1"/>
      <c r="DT38" s="1"/>
      <c r="DU38" s="1"/>
      <c r="DV38" s="1"/>
      <c r="DW38" s="1"/>
      <c r="DX38" s="1"/>
      <c r="DY38" s="1"/>
      <c r="DZ38" s="1"/>
      <c r="EA38" s="1"/>
    </row>
    <row r="39" spans="1:131" x14ac:dyDescent="0.3">
      <c r="A39">
        <v>4611767</v>
      </c>
      <c r="B39" s="1" t="s">
        <v>55</v>
      </c>
      <c r="C39" s="1" t="s">
        <v>24</v>
      </c>
      <c r="D39" s="1">
        <v>2014</v>
      </c>
      <c r="E39" s="1">
        <v>12</v>
      </c>
      <c r="F39" s="10">
        <f>Table3[[#This Row],[First season 
with SF]]+Table3[[#This Row],['# Services 
provided]]</f>
        <v>13</v>
      </c>
      <c r="G39" s="26">
        <f>(Table3[[#This Row],[Total Income 
(Race + Price 
sold + Offs - maintenance cost)]]-Table3[[#This Row],[Price 
Bought]])/Table3[[#This Row],[Price 
Bought]]</f>
        <v>-0.4</v>
      </c>
      <c r="H39" s="31">
        <f>Table3[[#This Row],[Race 
earnings]]+Table3[[#This Row],[Price 
Sold]]-Table3[[#This Row],[Maintenance cost]]+Table3[[#This Row],[Total 
profit (Income - cost)]]</f>
        <v>15000</v>
      </c>
      <c r="I39" s="3">
        <f>_xlfn.IFNA(VLOOKUP(Table3[[#This Row],[damId]],Sheet1!$A$2:$M$970,5, FALSE), VLOOKUP(Table3[[#This Row],[dam]],Sheet1!$B$2:$M$970,4, FALSE))</f>
        <v>0</v>
      </c>
      <c r="J39" s="3">
        <f>_xlfn.IFNA(VLOOKUP(Table3[[#This Row],[damId]],Sheet1!$A$2:$M$970,13, FALSE), VLOOKUP(Table3[[#This Row],[dam]],Sheet1!$B$2:$M$970,13, FALSE))</f>
        <v>5000</v>
      </c>
      <c r="K39" s="3">
        <f>_xlfn.IFNA(VLOOKUP(Table3[[#This Row],[damId]],Sheet1!$A$2:$M$970,11, FALSE), VLOOKUP(Table3[[#This Row],[dam]],Sheet1!$B$2:$M$970,11, FALSE))</f>
        <v>25000</v>
      </c>
      <c r="L39" s="3">
        <f>_xlfn.IFNA(VLOOKUP(Table3[[#This Row],[damId]],Sheet1!$A$2:$M$970,12, FALSE), VLOOKUP(Table3[[#This Row],[dam]],Sheet1!$B$2:$M$970,12, FALSE))</f>
        <v>30000</v>
      </c>
      <c r="M39" s="3">
        <f>_xlfn.IFNA(VLOOKUP(Table3[[#This Row],[damId]],Sheet1!$A$2:$T$970,20, FALSE), VLOOKUP(Table3[[#This Row],[dam]],Sheet1!$B$2:$T$970,20, FALSE))*Sheet1!$AD$3</f>
        <v>15000</v>
      </c>
      <c r="N39" s="3">
        <f>Table3[[#This Row],[Total 
income (Earnings + value - stud fee)]]-Table3[[#This Row],[Maintenance cost ]]</f>
        <v>0</v>
      </c>
      <c r="O39" s="3">
        <f>SUM(Table3[[#This Row],[income1]:[income12]])</f>
        <v>0</v>
      </c>
      <c r="P39" s="3">
        <f>_xlfn.IFNA(VLOOKUP(Table3[[#This Row],[damId]],Sheet1!$A$2:$Y$970,23, FALSE), VLOOKUP(Table3[[#This Row],[dam]],Sheet1!$B$2:$Y$970,23, FALSE))*Sheet1!$AD$3</f>
        <v>0</v>
      </c>
      <c r="Q39" s="3">
        <f>SUM(Table3[[#This Row],[earningsInRaces1]:[earningsInRaces12]])</f>
        <v>0</v>
      </c>
      <c r="R39" s="3">
        <f>SUM(Table3[[#This Row],[auctionPrice1]:[auctionPrice12]])</f>
        <v>0</v>
      </c>
      <c r="S39" s="3">
        <f>SUM(Table3[[#This Row],[studFeeUSD1]:[studFeeUSD12]])</f>
        <v>0</v>
      </c>
      <c r="T39" s="7">
        <f>COUNT(Table3[[#This Row],[successfulService1]:[successfulService12]])</f>
        <v>1</v>
      </c>
      <c r="U39" s="7">
        <f>SUM(Table3[[#This Row],[successfulService1]:[successfulService12]])</f>
        <v>0</v>
      </c>
      <c r="V39" s="7">
        <f>SUM(Table3[[#This Row],[soldInAuction1]:[soldInAuction12]])</f>
        <v>0</v>
      </c>
      <c r="W39" s="7">
        <f>SUM(Table3[[#This Row],[foreignHorse1]:[foreignHorse12]])</f>
        <v>0</v>
      </c>
      <c r="X39" s="3">
        <v>0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>
        <v>0</v>
      </c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>
        <v>0</v>
      </c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>
        <v>0</v>
      </c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>
        <v>0</v>
      </c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>
        <v>12</v>
      </c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</row>
    <row r="40" spans="1:131" x14ac:dyDescent="0.3">
      <c r="A40">
        <v>6106367</v>
      </c>
      <c r="B40" s="1" t="s">
        <v>87</v>
      </c>
      <c r="C40" s="1" t="s">
        <v>24</v>
      </c>
      <c r="D40" s="1">
        <v>2014</v>
      </c>
      <c r="E40" s="1">
        <v>8</v>
      </c>
      <c r="F40" s="10">
        <f>Table3[[#This Row],[First season 
with SF]]+Table3[[#This Row],['# Services 
provided]]</f>
        <v>16</v>
      </c>
      <c r="G40" s="26">
        <f>(Table3[[#This Row],[Total Income 
(Race + Price 
sold + Offs - maintenance cost)]]-Table3[[#This Row],[Price 
Bought]])/Table3[[#This Row],[Price 
Bought]]</f>
        <v>-0.51948940909090902</v>
      </c>
      <c r="H40" s="31">
        <f>Table3[[#This Row],[Race 
earnings]]+Table3[[#This Row],[Price 
Sold]]-Table3[[#This Row],[Maintenance cost]]+Table3[[#This Row],[Total 
profit (Income - cost)]]</f>
        <v>52856.165000000008</v>
      </c>
      <c r="I40" s="3">
        <f>_xlfn.IFNA(VLOOKUP(Table3[[#This Row],[damId]],Sheet1!$A$2:$M$970,5, FALSE), VLOOKUP(Table3[[#This Row],[dam]],Sheet1!$B$2:$M$970,4, FALSE))</f>
        <v>0</v>
      </c>
      <c r="J40" s="3">
        <f>_xlfn.IFNA(VLOOKUP(Table3[[#This Row],[damId]],Sheet1!$A$2:$M$970,13, FALSE), VLOOKUP(Table3[[#This Row],[dam]],Sheet1!$B$2:$M$970,13, FALSE))</f>
        <v>-110000</v>
      </c>
      <c r="K40" s="3">
        <f>_xlfn.IFNA(VLOOKUP(Table3[[#This Row],[damId]],Sheet1!$A$2:$M$970,11, FALSE), VLOOKUP(Table3[[#This Row],[dam]],Sheet1!$B$2:$M$970,11, FALSE))</f>
        <v>110000</v>
      </c>
      <c r="L40" s="3">
        <f>_xlfn.IFNA(VLOOKUP(Table3[[#This Row],[damId]],Sheet1!$A$2:$M$970,12, FALSE), VLOOKUP(Table3[[#This Row],[dam]],Sheet1!$B$2:$M$970,12, FALSE))</f>
        <v>0</v>
      </c>
      <c r="M40" s="3">
        <f>_xlfn.IFNA(VLOOKUP(Table3[[#This Row],[damId]],Sheet1!$A$2:$T$970,20, FALSE), VLOOKUP(Table3[[#This Row],[dam]],Sheet1!$B$2:$T$970,20, FALSE))*Sheet1!$AD$3</f>
        <v>169438.35</v>
      </c>
      <c r="N40" s="3">
        <f>Table3[[#This Row],[Total 
income (Earnings + value - stud fee)]]-Table3[[#This Row],[Maintenance cost ]]</f>
        <v>222294.51500000001</v>
      </c>
      <c r="O40" s="3">
        <f>SUM(Table3[[#This Row],[income1]:[income12]])</f>
        <v>264500</v>
      </c>
      <c r="P40" s="3">
        <f>_xlfn.IFNA(VLOOKUP(Table3[[#This Row],[damId]],Sheet1!$A$2:$Y$970,23, FALSE), VLOOKUP(Table3[[#This Row],[dam]],Sheet1!$B$2:$Y$970,23, FALSE))*Sheet1!$AD$3</f>
        <v>42205.485000000001</v>
      </c>
      <c r="Q40" s="3">
        <f>SUM(Table3[[#This Row],[earningsInRaces1]:[earningsInRaces12]])</f>
        <v>0</v>
      </c>
      <c r="R40" s="3">
        <f>SUM(Table3[[#This Row],[auctionPrice1]:[auctionPrice12]])</f>
        <v>712000</v>
      </c>
      <c r="S40" s="3">
        <f>SUM(Table3[[#This Row],[studFeeUSD1]:[studFeeUSD12]])</f>
        <v>-447500</v>
      </c>
      <c r="T40" s="7">
        <f>COUNT(Table3[[#This Row],[successfulService1]:[successfulService12]])</f>
        <v>8</v>
      </c>
      <c r="U40" s="7">
        <f>SUM(Table3[[#This Row],[successfulService1]:[successfulService12]])</f>
        <v>4</v>
      </c>
      <c r="V40" s="7">
        <f>SUM(Table3[[#This Row],[soldInAuction1]:[soldInAuction12]])</f>
        <v>3</v>
      </c>
      <c r="W40" s="7">
        <f>SUM(Table3[[#This Row],[foreignHorse1]:[foreignHorse12]])</f>
        <v>0</v>
      </c>
      <c r="X40" s="3">
        <v>0</v>
      </c>
      <c r="Y40" s="3">
        <v>125000</v>
      </c>
      <c r="Z40" s="3">
        <v>-25000</v>
      </c>
      <c r="AA40" s="3">
        <v>425000</v>
      </c>
      <c r="AB40" s="3">
        <v>-110000</v>
      </c>
      <c r="AC40" s="3">
        <v>-98000</v>
      </c>
      <c r="AD40" s="3">
        <v>-35000</v>
      </c>
      <c r="AE40" s="3">
        <v>-17500</v>
      </c>
      <c r="AF40" s="3"/>
      <c r="AG40" s="3"/>
      <c r="AH40" s="3"/>
      <c r="AI40" s="3"/>
      <c r="AJ40" s="3"/>
      <c r="AK40" s="3">
        <v>0</v>
      </c>
      <c r="AL40" s="3"/>
      <c r="AM40" s="3"/>
      <c r="AN40" s="3"/>
      <c r="AO40" s="3">
        <v>0</v>
      </c>
      <c r="AP40" s="3"/>
      <c r="AQ40" s="3"/>
      <c r="AR40" s="3"/>
      <c r="AS40" s="3"/>
      <c r="AT40" s="3"/>
      <c r="AU40" s="3"/>
      <c r="AV40" s="3"/>
      <c r="AW40" s="3">
        <v>150000</v>
      </c>
      <c r="AX40" s="3"/>
      <c r="AY40" s="3">
        <v>550000</v>
      </c>
      <c r="AZ40" s="3"/>
      <c r="BA40" s="3">
        <v>12000</v>
      </c>
      <c r="BB40" s="3"/>
      <c r="BC40" s="3"/>
      <c r="BD40" s="3"/>
      <c r="BE40" s="3"/>
      <c r="BF40" s="3"/>
      <c r="BG40" s="3"/>
      <c r="BH40" s="3">
        <v>0</v>
      </c>
      <c r="BI40" s="3">
        <v>-25000</v>
      </c>
      <c r="BJ40" s="3">
        <v>-25000</v>
      </c>
      <c r="BK40" s="3">
        <v>-125000</v>
      </c>
      <c r="BL40" s="3">
        <v>-110000</v>
      </c>
      <c r="BM40" s="3">
        <v>-110000</v>
      </c>
      <c r="BN40" s="3">
        <v>-35000</v>
      </c>
      <c r="BO40" s="3">
        <v>-17500</v>
      </c>
      <c r="BP40" s="3"/>
      <c r="BQ40" s="3"/>
      <c r="BR40" s="3"/>
      <c r="BS40" s="3"/>
      <c r="BT40" s="1"/>
      <c r="BU40" s="1">
        <v>0</v>
      </c>
      <c r="BV40" s="1"/>
      <c r="BW40" s="1"/>
      <c r="BX40" s="1"/>
      <c r="BY40" s="1">
        <v>0</v>
      </c>
      <c r="BZ40" s="1"/>
      <c r="CA40" s="1"/>
      <c r="CB40" s="1"/>
      <c r="CC40" s="1"/>
      <c r="CD40" s="1"/>
      <c r="CE40" s="1"/>
      <c r="CF40" s="1">
        <v>0</v>
      </c>
      <c r="CG40" s="1">
        <v>1</v>
      </c>
      <c r="CH40" s="1">
        <v>1</v>
      </c>
      <c r="CI40" s="1">
        <v>1</v>
      </c>
      <c r="CJ40" s="1">
        <v>0</v>
      </c>
      <c r="CK40" s="1">
        <v>1</v>
      </c>
      <c r="CL40" s="1">
        <v>0</v>
      </c>
      <c r="CM40" s="1">
        <v>0</v>
      </c>
      <c r="CN40" s="1"/>
      <c r="CO40" s="1"/>
      <c r="CP40" s="1"/>
      <c r="CQ40" s="1"/>
      <c r="CR40" s="1">
        <v>0</v>
      </c>
      <c r="CS40" s="1">
        <v>1</v>
      </c>
      <c r="CT40" s="1">
        <v>0</v>
      </c>
      <c r="CU40" s="1">
        <v>1</v>
      </c>
      <c r="CV40" s="1">
        <v>0</v>
      </c>
      <c r="CW40" s="1">
        <v>1</v>
      </c>
      <c r="CX40" s="1">
        <v>0</v>
      </c>
      <c r="CY40" s="1">
        <v>0</v>
      </c>
      <c r="CZ40" s="1"/>
      <c r="DA40" s="1"/>
      <c r="DB40" s="1"/>
      <c r="DC40" s="1"/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/>
      <c r="DM40" s="1"/>
      <c r="DN40" s="1"/>
      <c r="DO40" s="1"/>
      <c r="DP40" s="1">
        <v>8</v>
      </c>
      <c r="DQ40" s="1">
        <v>9</v>
      </c>
      <c r="DR40" s="1">
        <v>10</v>
      </c>
      <c r="DS40" s="1">
        <v>11</v>
      </c>
      <c r="DT40" s="1">
        <v>12</v>
      </c>
      <c r="DU40" s="1">
        <v>13</v>
      </c>
      <c r="DV40" s="1">
        <v>15</v>
      </c>
      <c r="DW40" s="1">
        <v>16</v>
      </c>
      <c r="DX40" s="1"/>
      <c r="DY40" s="1"/>
      <c r="DZ40" s="1"/>
      <c r="EA40" s="1"/>
    </row>
    <row r="41" spans="1:131" x14ac:dyDescent="0.3">
      <c r="A41">
        <v>6226813</v>
      </c>
      <c r="B41" s="1" t="s">
        <v>91</v>
      </c>
      <c r="C41" s="1" t="s">
        <v>24</v>
      </c>
      <c r="D41" s="1">
        <v>2014</v>
      </c>
      <c r="E41" s="1">
        <v>8</v>
      </c>
      <c r="F41" s="10">
        <f>Table3[[#This Row],[First season 
with SF]]+Table3[[#This Row],['# Services 
provided]]</f>
        <v>9</v>
      </c>
      <c r="G41" s="26">
        <f>(Table3[[#This Row],[Total Income 
(Race + Price 
sold + Offs - maintenance cost)]]-Table3[[#This Row],[Price 
Bought]])/Table3[[#This Row],[Price 
Bought]]</f>
        <v>1.6671234090909093</v>
      </c>
      <c r="H41" s="31">
        <f>Table3[[#This Row],[Race 
earnings]]+Table3[[#This Row],[Price 
Sold]]-Table3[[#This Row],[Maintenance cost]]+Table3[[#This Row],[Total 
profit (Income - cost)]]</f>
        <v>293383.57500000001</v>
      </c>
      <c r="I41" s="3">
        <f>_xlfn.IFNA(VLOOKUP(Table3[[#This Row],[damId]],Sheet1!$A$2:$M$970,5, FALSE), VLOOKUP(Table3[[#This Row],[dam]],Sheet1!$B$2:$M$970,4, FALSE))</f>
        <v>0</v>
      </c>
      <c r="J41" s="3">
        <f>_xlfn.IFNA(VLOOKUP(Table3[[#This Row],[damId]],Sheet1!$A$2:$M$970,13, FALSE), VLOOKUP(Table3[[#This Row],[dam]],Sheet1!$B$2:$M$970,13, FALSE))</f>
        <v>-30000</v>
      </c>
      <c r="K41" s="3">
        <f>_xlfn.IFNA(VLOOKUP(Table3[[#This Row],[damId]],Sheet1!$A$2:$M$970,11, FALSE), VLOOKUP(Table3[[#This Row],[dam]],Sheet1!$B$2:$M$970,11, FALSE))</f>
        <v>110000</v>
      </c>
      <c r="L41" s="3">
        <f>_xlfn.IFNA(VLOOKUP(Table3[[#This Row],[damId]],Sheet1!$A$2:$M$970,12, FALSE), VLOOKUP(Table3[[#This Row],[dam]],Sheet1!$B$2:$M$970,12, FALSE))</f>
        <v>80000</v>
      </c>
      <c r="M41" s="3">
        <f>_xlfn.IFNA(VLOOKUP(Table3[[#This Row],[damId]],Sheet1!$A$2:$T$970,20, FALSE), VLOOKUP(Table3[[#This Row],[dam]],Sheet1!$B$2:$T$970,20, FALSE))*Sheet1!$AD$3</f>
        <v>15082.184999999999</v>
      </c>
      <c r="N41" s="3">
        <f>Table3[[#This Row],[Total 
income (Earnings + value - stud fee)]]-Table3[[#This Row],[Maintenance cost ]]</f>
        <v>228465.76</v>
      </c>
      <c r="O41" s="3">
        <f>SUM(Table3[[#This Row],[income1]:[income12]])</f>
        <v>250000</v>
      </c>
      <c r="P41" s="3">
        <f>_xlfn.IFNA(VLOOKUP(Table3[[#This Row],[damId]],Sheet1!$A$2:$Y$970,23, FALSE), VLOOKUP(Table3[[#This Row],[dam]],Sheet1!$B$2:$Y$970,23, FALSE))*Sheet1!$AD$3</f>
        <v>21534.240000000002</v>
      </c>
      <c r="Q41" s="3">
        <f>SUM(Table3[[#This Row],[earningsInRaces1]:[earningsInRaces12]])</f>
        <v>0</v>
      </c>
      <c r="R41" s="3">
        <f>SUM(Table3[[#This Row],[auctionPrice1]:[auctionPrice12]])</f>
        <v>250000</v>
      </c>
      <c r="S41" s="3">
        <f>SUM(Table3[[#This Row],[studFeeUSD1]:[studFeeUSD12]])</f>
        <v>0</v>
      </c>
      <c r="T41" s="7">
        <f>COUNT(Table3[[#This Row],[successfulService1]:[successfulService12]])</f>
        <v>1</v>
      </c>
      <c r="U41" s="7">
        <f>SUM(Table3[[#This Row],[successfulService1]:[successfulService12]])</f>
        <v>1</v>
      </c>
      <c r="V41" s="7">
        <f>SUM(Table3[[#This Row],[soldInAuction1]:[soldInAuction12]])</f>
        <v>1</v>
      </c>
      <c r="W41" s="7">
        <f>SUM(Table3[[#This Row],[foreignHorse1]:[foreignHorse12]])</f>
        <v>0</v>
      </c>
      <c r="X41" s="3">
        <v>250000</v>
      </c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>
        <v>0</v>
      </c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>
        <v>250000</v>
      </c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>
        <v>0</v>
      </c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1">
        <v>0</v>
      </c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>
        <v>1</v>
      </c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>
        <v>1</v>
      </c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>
        <v>0</v>
      </c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>
        <v>8</v>
      </c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</row>
    <row r="42" spans="1:131" x14ac:dyDescent="0.3">
      <c r="A42">
        <v>6818403</v>
      </c>
      <c r="B42" s="1" t="s">
        <v>121</v>
      </c>
      <c r="C42" s="1" t="s">
        <v>24</v>
      </c>
      <c r="D42" s="1">
        <v>2014</v>
      </c>
      <c r="E42" s="1">
        <v>6</v>
      </c>
      <c r="F42" s="10">
        <f>Table3[[#This Row],[First season 
with SF]]+Table3[[#This Row],['# Services 
provided]]</f>
        <v>9</v>
      </c>
      <c r="G42" s="26">
        <f>(Table3[[#This Row],[Total Income 
(Race + Price 
sold + Offs - maintenance cost)]]-Table3[[#This Row],[Price 
Bought]])/Table3[[#This Row],[Price 
Bought]]</f>
        <v>10.904109699999999</v>
      </c>
      <c r="H42" s="31">
        <f>Table3[[#This Row],[Race 
earnings]]+Table3[[#This Row],[Price 
Sold]]-Table3[[#This Row],[Maintenance cost]]+Table3[[#This Row],[Total 
profit (Income - cost)]]</f>
        <v>595205.48499999999</v>
      </c>
      <c r="I42" s="3">
        <f>_xlfn.IFNA(VLOOKUP(Table3[[#This Row],[damId]],Sheet1!$A$2:$M$970,5, FALSE), VLOOKUP(Table3[[#This Row],[dam]],Sheet1!$B$2:$M$970,4, FALSE))</f>
        <v>0</v>
      </c>
      <c r="J42" s="3">
        <f>_xlfn.IFNA(VLOOKUP(Table3[[#This Row],[damId]],Sheet1!$A$2:$M$970,13, FALSE), VLOOKUP(Table3[[#This Row],[dam]],Sheet1!$B$2:$M$970,13, FALSE))</f>
        <v>140000</v>
      </c>
      <c r="K42" s="3">
        <f>_xlfn.IFNA(VLOOKUP(Table3[[#This Row],[damId]],Sheet1!$A$2:$M$970,11, FALSE), VLOOKUP(Table3[[#This Row],[dam]],Sheet1!$B$2:$M$970,11, FALSE))</f>
        <v>50000</v>
      </c>
      <c r="L42" s="3">
        <f>_xlfn.IFNA(VLOOKUP(Table3[[#This Row],[damId]],Sheet1!$A$2:$M$970,12, FALSE), VLOOKUP(Table3[[#This Row],[dam]],Sheet1!$B$2:$M$970,12, FALSE))</f>
        <v>190000</v>
      </c>
      <c r="M42" s="3">
        <f>_xlfn.IFNA(VLOOKUP(Table3[[#This Row],[damId]],Sheet1!$A$2:$T$970,20, FALSE), VLOOKUP(Table3[[#This Row],[dam]],Sheet1!$B$2:$T$970,20, FALSE))*Sheet1!$AD$3</f>
        <v>44794.514999999999</v>
      </c>
      <c r="N42" s="3">
        <f>Table3[[#This Row],[Total 
income (Earnings + value - stud fee)]]-Table3[[#This Row],[Maintenance cost ]]</f>
        <v>450000</v>
      </c>
      <c r="O42" s="3">
        <f>SUM(Table3[[#This Row],[income1]:[income12]])</f>
        <v>450000</v>
      </c>
      <c r="P42" s="3">
        <f>_xlfn.IFNA(VLOOKUP(Table3[[#This Row],[damId]],Sheet1!$A$2:$Y$970,23, FALSE), VLOOKUP(Table3[[#This Row],[dam]],Sheet1!$B$2:$Y$970,23, FALSE))*Sheet1!$AD$3</f>
        <v>0</v>
      </c>
      <c r="Q42" s="3">
        <f>SUM(Table3[[#This Row],[earningsInRaces1]:[earningsInRaces12]])</f>
        <v>0</v>
      </c>
      <c r="R42" s="3">
        <f>SUM(Table3[[#This Row],[auctionPrice1]:[auctionPrice12]])</f>
        <v>615000</v>
      </c>
      <c r="S42" s="3">
        <f>SUM(Table3[[#This Row],[studFeeUSD1]:[studFeeUSD12]])</f>
        <v>-165000</v>
      </c>
      <c r="T42" s="7">
        <f>COUNT(Table3[[#This Row],[successfulService1]:[successfulService12]])</f>
        <v>3</v>
      </c>
      <c r="U42" s="7">
        <f>SUM(Table3[[#This Row],[successfulService1]:[successfulService12]])</f>
        <v>2</v>
      </c>
      <c r="V42" s="7">
        <f>SUM(Table3[[#This Row],[soldInAuction1]:[soldInAuction12]])</f>
        <v>2</v>
      </c>
      <c r="W42" s="7">
        <f>SUM(Table3[[#This Row],[foreignHorse1]:[foreignHorse12]])</f>
        <v>0</v>
      </c>
      <c r="X42" s="3">
        <v>55000</v>
      </c>
      <c r="Y42" s="3">
        <v>-15000</v>
      </c>
      <c r="Z42" s="3">
        <v>410000</v>
      </c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>
        <v>55000</v>
      </c>
      <c r="AW42" s="3"/>
      <c r="AX42" s="3">
        <v>560000</v>
      </c>
      <c r="AY42" s="3"/>
      <c r="AZ42" s="3"/>
      <c r="BA42" s="3"/>
      <c r="BB42" s="3"/>
      <c r="BC42" s="3"/>
      <c r="BD42" s="3"/>
      <c r="BE42" s="3"/>
      <c r="BF42" s="3"/>
      <c r="BG42" s="3"/>
      <c r="BH42" s="3">
        <v>0</v>
      </c>
      <c r="BI42" s="3">
        <v>-15000</v>
      </c>
      <c r="BJ42" s="3">
        <v>-150000</v>
      </c>
      <c r="BK42" s="3"/>
      <c r="BL42" s="3"/>
      <c r="BM42" s="3"/>
      <c r="BN42" s="3"/>
      <c r="BO42" s="3"/>
      <c r="BP42" s="3"/>
      <c r="BQ42" s="3"/>
      <c r="BR42" s="3"/>
      <c r="BS42" s="3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>
        <v>1</v>
      </c>
      <c r="CG42" s="1">
        <v>0</v>
      </c>
      <c r="CH42" s="1">
        <v>1</v>
      </c>
      <c r="CI42" s="1"/>
      <c r="CJ42" s="1"/>
      <c r="CK42" s="1"/>
      <c r="CL42" s="1"/>
      <c r="CM42" s="1"/>
      <c r="CN42" s="1"/>
      <c r="CO42" s="1"/>
      <c r="CP42" s="1"/>
      <c r="CQ42" s="1"/>
      <c r="CR42" s="1">
        <v>1</v>
      </c>
      <c r="CS42" s="1">
        <v>0</v>
      </c>
      <c r="CT42" s="1">
        <v>1</v>
      </c>
      <c r="CU42" s="1"/>
      <c r="CV42" s="1"/>
      <c r="CW42" s="1"/>
      <c r="CX42" s="1"/>
      <c r="CY42" s="1"/>
      <c r="CZ42" s="1"/>
      <c r="DA42" s="1"/>
      <c r="DB42" s="1"/>
      <c r="DC42" s="1"/>
      <c r="DD42" s="1">
        <v>0</v>
      </c>
      <c r="DE42" s="1">
        <v>0</v>
      </c>
      <c r="DF42" s="1">
        <v>0</v>
      </c>
      <c r="DG42" s="1"/>
      <c r="DH42" s="1"/>
      <c r="DI42" s="1"/>
      <c r="DJ42" s="1"/>
      <c r="DK42" s="1"/>
      <c r="DL42" s="1"/>
      <c r="DM42" s="1"/>
      <c r="DN42" s="1"/>
      <c r="DO42" s="1"/>
      <c r="DP42" s="1">
        <v>6</v>
      </c>
      <c r="DQ42" s="1">
        <v>7</v>
      </c>
      <c r="DR42" s="1">
        <v>8</v>
      </c>
      <c r="DS42" s="1"/>
      <c r="DT42" s="1"/>
      <c r="DU42" s="1"/>
      <c r="DV42" s="1"/>
      <c r="DW42" s="1"/>
      <c r="DX42" s="1"/>
      <c r="DY42" s="1"/>
      <c r="DZ42" s="1"/>
      <c r="EA42" s="1"/>
    </row>
    <row r="43" spans="1:131" x14ac:dyDescent="0.3">
      <c r="A43">
        <v>7415009</v>
      </c>
      <c r="B43" s="1" t="s">
        <v>157</v>
      </c>
      <c r="C43" s="1" t="s">
        <v>24</v>
      </c>
      <c r="D43" s="1">
        <v>2014</v>
      </c>
      <c r="E43" s="1">
        <v>4</v>
      </c>
      <c r="F43" s="10">
        <f>Table3[[#This Row],[First season 
with SF]]+Table3[[#This Row],['# Services 
provided]]</f>
        <v>6</v>
      </c>
      <c r="G43" s="26">
        <f>(Table3[[#This Row],[Total Income 
(Race + Price 
sold + Offs - maintenance cost)]]-Table3[[#This Row],[Price 
Bought]])/Table3[[#This Row],[Price 
Bought]]</f>
        <v>-1.3777534999999999</v>
      </c>
      <c r="H43" s="31">
        <f>Table3[[#This Row],[Race 
earnings]]+Table3[[#This Row],[Price 
Sold]]-Table3[[#This Row],[Maintenance cost]]+Table3[[#This Row],[Total 
profit (Income - cost)]]</f>
        <v>-56663.024999999994</v>
      </c>
      <c r="I43" s="3">
        <f>_xlfn.IFNA(VLOOKUP(Table3[[#This Row],[damId]],Sheet1!$A$2:$M$970,5, FALSE), VLOOKUP(Table3[[#This Row],[dam]],Sheet1!$B$2:$M$970,4, FALSE))</f>
        <v>0</v>
      </c>
      <c r="J43" s="3">
        <f>_xlfn.IFNA(VLOOKUP(Table3[[#This Row],[damId]],Sheet1!$A$2:$M$970,13, FALSE), VLOOKUP(Table3[[#This Row],[dam]],Sheet1!$B$2:$M$970,13, FALSE))</f>
        <v>-140000</v>
      </c>
      <c r="K43" s="3">
        <f>_xlfn.IFNA(VLOOKUP(Table3[[#This Row],[damId]],Sheet1!$A$2:$M$970,11, FALSE), VLOOKUP(Table3[[#This Row],[dam]],Sheet1!$B$2:$M$970,11, FALSE))</f>
        <v>150000</v>
      </c>
      <c r="L43" s="3">
        <f>_xlfn.IFNA(VLOOKUP(Table3[[#This Row],[damId]],Sheet1!$A$2:$M$970,12, FALSE), VLOOKUP(Table3[[#This Row],[dam]],Sheet1!$B$2:$M$970,12, FALSE))</f>
        <v>10000</v>
      </c>
      <c r="M43" s="3">
        <f>_xlfn.IFNA(VLOOKUP(Table3[[#This Row],[damId]],Sheet1!$A$2:$T$970,20, FALSE), VLOOKUP(Table3[[#This Row],[dam]],Sheet1!$B$2:$T$970,20, FALSE))*Sheet1!$AD$3</f>
        <v>29917.814999999999</v>
      </c>
      <c r="N43" s="3">
        <f>Table3[[#This Row],[Total 
income (Earnings + value - stud fee)]]-Table3[[#This Row],[Maintenance cost ]]</f>
        <v>-36745.21</v>
      </c>
      <c r="O43" s="3">
        <f>SUM(Table3[[#This Row],[income1]:[income12]])</f>
        <v>-2800</v>
      </c>
      <c r="P43" s="3">
        <f>_xlfn.IFNA(VLOOKUP(Table3[[#This Row],[damId]],Sheet1!$A$2:$Y$970,23, FALSE), VLOOKUP(Table3[[#This Row],[dam]],Sheet1!$B$2:$Y$970,23, FALSE))*Sheet1!$AD$3</f>
        <v>33945.21</v>
      </c>
      <c r="Q43" s="3">
        <f>SUM(Table3[[#This Row],[earningsInRaces1]:[earningsInRaces12]])</f>
        <v>0</v>
      </c>
      <c r="R43" s="3">
        <f>SUM(Table3[[#This Row],[auctionPrice1]:[auctionPrice12]])</f>
        <v>12200</v>
      </c>
      <c r="S43" s="3">
        <f>SUM(Table3[[#This Row],[studFeeUSD1]:[studFeeUSD12]])</f>
        <v>-15000</v>
      </c>
      <c r="T43" s="7">
        <f>COUNT(Table3[[#This Row],[successfulService1]:[successfulService12]])</f>
        <v>2</v>
      </c>
      <c r="U43" s="7">
        <f>SUM(Table3[[#This Row],[successfulService1]:[successfulService12]])</f>
        <v>2</v>
      </c>
      <c r="V43" s="7">
        <f>SUM(Table3[[#This Row],[soldInAuction1]:[soldInAuction12]])</f>
        <v>2</v>
      </c>
      <c r="W43" s="7">
        <f>SUM(Table3[[#This Row],[foreignHorse1]:[foreignHorse12]])</f>
        <v>0</v>
      </c>
      <c r="X43" s="3">
        <v>11000</v>
      </c>
      <c r="Y43" s="3">
        <v>-13800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>
        <v>0</v>
      </c>
      <c r="AK43" s="3">
        <v>0</v>
      </c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>
        <v>11000</v>
      </c>
      <c r="AW43" s="3">
        <v>1200</v>
      </c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>
        <v>0</v>
      </c>
      <c r="BI43" s="3">
        <v>-15000</v>
      </c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1">
        <v>0</v>
      </c>
      <c r="BU43" s="1">
        <v>0</v>
      </c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>
        <v>1</v>
      </c>
      <c r="CG43" s="1">
        <v>1</v>
      </c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>
        <v>1</v>
      </c>
      <c r="CS43" s="1">
        <v>1</v>
      </c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>
        <v>0</v>
      </c>
      <c r="DE43" s="1">
        <v>0</v>
      </c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>
        <v>4</v>
      </c>
      <c r="DQ43" s="1">
        <v>5</v>
      </c>
      <c r="DR43" s="1"/>
      <c r="DS43" s="1"/>
      <c r="DT43" s="1"/>
      <c r="DU43" s="1"/>
      <c r="DV43" s="1"/>
      <c r="DW43" s="1"/>
      <c r="DX43" s="1"/>
      <c r="DY43" s="1"/>
      <c r="DZ43" s="1"/>
      <c r="EA43" s="1"/>
    </row>
    <row r="44" spans="1:131" x14ac:dyDescent="0.3">
      <c r="A44">
        <v>7506329</v>
      </c>
      <c r="B44" s="1" t="s">
        <v>177</v>
      </c>
      <c r="C44" s="1" t="s">
        <v>24</v>
      </c>
      <c r="D44" s="1">
        <v>2014</v>
      </c>
      <c r="E44" s="1">
        <v>2</v>
      </c>
      <c r="F44" s="10">
        <f>Table3[[#This Row],[First season 
with SF]]+Table3[[#This Row],['# Services 
provided]]</f>
        <v>3</v>
      </c>
      <c r="G44" s="26">
        <f>(Table3[[#This Row],[Total Income 
(Race + Price 
sold + Offs - maintenance cost)]]-Table3[[#This Row],[Price 
Bought]])/Table3[[#This Row],[Price 
Bought]]</f>
        <v>0.1665564137931034</v>
      </c>
      <c r="H44" s="31">
        <f>Table3[[#This Row],[Race 
earnings]]+Table3[[#This Row],[Price 
Sold]]-Table3[[#This Row],[Maintenance cost]]+Table3[[#This Row],[Total 
profit (Income - cost)]]</f>
        <v>169150.68</v>
      </c>
      <c r="I44" s="3">
        <f>_xlfn.IFNA(VLOOKUP(Table3[[#This Row],[damId]],Sheet1!$A$2:$M$970,5, FALSE), VLOOKUP(Table3[[#This Row],[dam]],Sheet1!$B$2:$M$970,4, FALSE))</f>
        <v>0</v>
      </c>
      <c r="J44" s="3">
        <f>_xlfn.IFNA(VLOOKUP(Table3[[#This Row],[damId]],Sheet1!$A$2:$M$970,13, FALSE), VLOOKUP(Table3[[#This Row],[dam]],Sheet1!$B$2:$M$970,13, FALSE))</f>
        <v>-88000</v>
      </c>
      <c r="K44" s="3">
        <f>_xlfn.IFNA(VLOOKUP(Table3[[#This Row],[damId]],Sheet1!$A$2:$M$970,11, FALSE), VLOOKUP(Table3[[#This Row],[dam]],Sheet1!$B$2:$M$970,11, FALSE))</f>
        <v>145000</v>
      </c>
      <c r="L44" s="3">
        <f>_xlfn.IFNA(VLOOKUP(Table3[[#This Row],[damId]],Sheet1!$A$2:$M$970,12, FALSE), VLOOKUP(Table3[[#This Row],[dam]],Sheet1!$B$2:$M$970,12, FALSE))</f>
        <v>57000</v>
      </c>
      <c r="M44" s="3">
        <f>_xlfn.IFNA(VLOOKUP(Table3[[#This Row],[damId]],Sheet1!$A$2:$T$970,20, FALSE), VLOOKUP(Table3[[#This Row],[dam]],Sheet1!$B$2:$T$970,20, FALSE))*Sheet1!$AD$3</f>
        <v>15000</v>
      </c>
      <c r="N44" s="3">
        <f>Table3[[#This Row],[Total 
income (Earnings + value - stud fee)]]-Table3[[#This Row],[Maintenance cost ]]</f>
        <v>127150.68</v>
      </c>
      <c r="O44" s="3">
        <f>SUM(Table3[[#This Row],[income1]:[income12]])</f>
        <v>150000</v>
      </c>
      <c r="P44" s="3">
        <f>_xlfn.IFNA(VLOOKUP(Table3[[#This Row],[damId]],Sheet1!$A$2:$Y$970,23, FALSE), VLOOKUP(Table3[[#This Row],[dam]],Sheet1!$B$2:$Y$970,23, FALSE))*Sheet1!$AD$3</f>
        <v>22849.32</v>
      </c>
      <c r="Q44" s="3">
        <f>SUM(Table3[[#This Row],[earningsInRaces1]:[earningsInRaces12]])</f>
        <v>0</v>
      </c>
      <c r="R44" s="3">
        <f>SUM(Table3[[#This Row],[auctionPrice1]:[auctionPrice12]])</f>
        <v>150000</v>
      </c>
      <c r="S44" s="3">
        <f>SUM(Table3[[#This Row],[studFeeUSD1]:[studFeeUSD12]])</f>
        <v>0</v>
      </c>
      <c r="T44" s="7">
        <f>COUNT(Table3[[#This Row],[successfulService1]:[successfulService12]])</f>
        <v>1</v>
      </c>
      <c r="U44" s="7">
        <f>SUM(Table3[[#This Row],[successfulService1]:[successfulService12]])</f>
        <v>1</v>
      </c>
      <c r="V44" s="7">
        <f>SUM(Table3[[#This Row],[soldInAuction1]:[soldInAuction12]])</f>
        <v>1</v>
      </c>
      <c r="W44" s="7">
        <f>SUM(Table3[[#This Row],[foreignHorse1]:[foreignHorse12]])</f>
        <v>0</v>
      </c>
      <c r="X44" s="3">
        <v>150000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>
        <v>0</v>
      </c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>
        <v>150000</v>
      </c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>
        <v>0</v>
      </c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1">
        <v>0</v>
      </c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>
        <v>1</v>
      </c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>
        <v>1</v>
      </c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>
        <v>0</v>
      </c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>
        <v>2</v>
      </c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</row>
    <row r="45" spans="1:131" x14ac:dyDescent="0.3">
      <c r="A45">
        <v>7732950</v>
      </c>
      <c r="B45" s="1" t="s">
        <v>199</v>
      </c>
      <c r="C45" s="1" t="s">
        <v>24</v>
      </c>
      <c r="D45" s="1">
        <v>2014</v>
      </c>
      <c r="E45" s="1">
        <v>1</v>
      </c>
      <c r="F45" s="10">
        <f>Table3[[#This Row],[First season 
with SF]]+Table3[[#This Row],['# Services 
provided]]</f>
        <v>13</v>
      </c>
      <c r="G45" s="26">
        <f>(Table3[[#This Row],[Total Income 
(Race + Price 
sold + Offs - maintenance cost)]]-Table3[[#This Row],[Price 
Bought]])/Table3[[#This Row],[Price 
Bought]]</f>
        <v>0.30592049090909118</v>
      </c>
      <c r="H45" s="31">
        <f>Table3[[#This Row],[Race 
earnings]]+Table3[[#This Row],[Price 
Sold]]-Table3[[#This Row],[Maintenance cost]]+Table3[[#This Row],[Total 
profit (Income - cost)]]</f>
        <v>718256.27000000014</v>
      </c>
      <c r="I45" s="3">
        <f>_xlfn.IFNA(VLOOKUP(Table3[[#This Row],[damId]],Sheet1!$A$2:$M$970,5, FALSE), VLOOKUP(Table3[[#This Row],[dam]],Sheet1!$B$2:$M$970,4, FALSE))</f>
        <v>0</v>
      </c>
      <c r="J45" s="3">
        <f>_xlfn.IFNA(VLOOKUP(Table3[[#This Row],[damId]],Sheet1!$A$2:$M$970,13, FALSE), VLOOKUP(Table3[[#This Row],[dam]],Sheet1!$B$2:$M$970,13, FALSE))</f>
        <v>-550000</v>
      </c>
      <c r="K45" s="3">
        <f>_xlfn.IFNA(VLOOKUP(Table3[[#This Row],[damId]],Sheet1!$A$2:$M$970,11, FALSE), VLOOKUP(Table3[[#This Row],[dam]],Sheet1!$B$2:$M$970,11, FALSE))</f>
        <v>550000</v>
      </c>
      <c r="L45" s="3">
        <f>_xlfn.IFNA(VLOOKUP(Table3[[#This Row],[damId]],Sheet1!$A$2:$M$970,12, FALSE), VLOOKUP(Table3[[#This Row],[dam]],Sheet1!$B$2:$M$970,12, FALSE))</f>
        <v>0</v>
      </c>
      <c r="M45" s="3">
        <f>_xlfn.IFNA(VLOOKUP(Table3[[#This Row],[damId]],Sheet1!$A$2:$T$970,20, FALSE), VLOOKUP(Table3[[#This Row],[dam]],Sheet1!$B$2:$T$970,20, FALSE))*Sheet1!$AD$3</f>
        <v>169438.35</v>
      </c>
      <c r="N45" s="3">
        <f>Table3[[#This Row],[Total 
income (Earnings + value - stud fee)]]-Table3[[#This Row],[Maintenance cost ]]</f>
        <v>887694.62000000011</v>
      </c>
      <c r="O45" s="3">
        <f>SUM(Table3[[#This Row],[income1]:[income12]])</f>
        <v>1171174.07</v>
      </c>
      <c r="P45" s="3">
        <f>_xlfn.IFNA(VLOOKUP(Table3[[#This Row],[damId]],Sheet1!$A$2:$Y$970,23, FALSE), VLOOKUP(Table3[[#This Row],[dam]],Sheet1!$B$2:$Y$970,23, FALSE))*Sheet1!$AD$3</f>
        <v>283479.45</v>
      </c>
      <c r="Q45" s="3">
        <f>SUM(Table3[[#This Row],[earningsInRaces1]:[earningsInRaces12]])</f>
        <v>70100</v>
      </c>
      <c r="R45" s="3">
        <f>SUM(Table3[[#This Row],[auctionPrice1]:[auctionPrice12]])</f>
        <v>1804000</v>
      </c>
      <c r="S45" s="3">
        <f>SUM(Table3[[#This Row],[studFeeUSD1]:[studFeeUSD12]])</f>
        <v>-702925.93</v>
      </c>
      <c r="T45" s="7">
        <f>COUNT(Table3[[#This Row],[successfulService1]:[successfulService12]])</f>
        <v>12</v>
      </c>
      <c r="U45" s="7">
        <f>SUM(Table3[[#This Row],[successfulService1]:[successfulService12]])</f>
        <v>9</v>
      </c>
      <c r="V45" s="7">
        <f>SUM(Table3[[#This Row],[soldInAuction1]:[soldInAuction12]])</f>
        <v>8</v>
      </c>
      <c r="W45" s="7">
        <f>SUM(Table3[[#This Row],[foreignHorse1]:[foreignHorse12]])</f>
        <v>0</v>
      </c>
      <c r="X45" s="3">
        <v>40000</v>
      </c>
      <c r="Y45" s="3">
        <v>1050000</v>
      </c>
      <c r="Z45" s="3">
        <v>43100</v>
      </c>
      <c r="AA45" s="3">
        <v>-113000</v>
      </c>
      <c r="AB45" s="3">
        <v>90000</v>
      </c>
      <c r="AC45" s="3">
        <v>125000</v>
      </c>
      <c r="AD45" s="3">
        <v>17074.07</v>
      </c>
      <c r="AE45" s="3">
        <v>-5000</v>
      </c>
      <c r="AF45" s="3">
        <v>-25000</v>
      </c>
      <c r="AG45" s="3">
        <v>-6000</v>
      </c>
      <c r="AH45" s="3">
        <v>-25000</v>
      </c>
      <c r="AI45" s="3">
        <v>-20000</v>
      </c>
      <c r="AJ45" s="3">
        <v>0</v>
      </c>
      <c r="AK45" s="3">
        <v>0</v>
      </c>
      <c r="AL45" s="3">
        <v>58100</v>
      </c>
      <c r="AM45" s="3">
        <v>12000</v>
      </c>
      <c r="AN45" s="3">
        <v>0</v>
      </c>
      <c r="AO45" s="3"/>
      <c r="AP45" s="3">
        <v>0</v>
      </c>
      <c r="AQ45" s="3">
        <v>0</v>
      </c>
      <c r="AR45" s="3"/>
      <c r="AS45" s="3"/>
      <c r="AT45" s="3"/>
      <c r="AU45" s="3"/>
      <c r="AV45" s="3">
        <v>40000</v>
      </c>
      <c r="AW45" s="3">
        <v>1200000</v>
      </c>
      <c r="AX45" s="3">
        <v>65000</v>
      </c>
      <c r="AY45" s="3"/>
      <c r="AZ45" s="3">
        <v>200000</v>
      </c>
      <c r="BA45" s="3">
        <v>225000</v>
      </c>
      <c r="BB45" s="3">
        <v>50000</v>
      </c>
      <c r="BC45" s="3">
        <v>15000</v>
      </c>
      <c r="BD45" s="3"/>
      <c r="BE45" s="3">
        <v>9000</v>
      </c>
      <c r="BF45" s="3"/>
      <c r="BG45" s="3"/>
      <c r="BH45" s="3">
        <v>0</v>
      </c>
      <c r="BI45" s="3">
        <v>-150000</v>
      </c>
      <c r="BJ45" s="3">
        <v>-80000</v>
      </c>
      <c r="BK45" s="3">
        <v>-125000</v>
      </c>
      <c r="BL45" s="3">
        <v>-110000</v>
      </c>
      <c r="BM45" s="3">
        <v>-100000</v>
      </c>
      <c r="BN45" s="3">
        <v>-32925.93</v>
      </c>
      <c r="BO45" s="3">
        <v>-20000</v>
      </c>
      <c r="BP45" s="3">
        <v>-25000</v>
      </c>
      <c r="BQ45" s="3">
        <v>-15000</v>
      </c>
      <c r="BR45" s="3">
        <v>-25000</v>
      </c>
      <c r="BS45" s="3">
        <v>-20000</v>
      </c>
      <c r="BT45" s="1">
        <v>0</v>
      </c>
      <c r="BU45" s="1">
        <v>0</v>
      </c>
      <c r="BV45" s="1">
        <v>1</v>
      </c>
      <c r="BW45" s="1">
        <v>1</v>
      </c>
      <c r="BX45" s="1">
        <v>0</v>
      </c>
      <c r="BY45" s="1"/>
      <c r="BZ45" s="1">
        <v>0</v>
      </c>
      <c r="CA45" s="1">
        <v>0</v>
      </c>
      <c r="CB45" s="1"/>
      <c r="CC45" s="1"/>
      <c r="CD45" s="1"/>
      <c r="CE45" s="1"/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0</v>
      </c>
      <c r="CO45" s="1">
        <v>1</v>
      </c>
      <c r="CP45" s="1">
        <v>0</v>
      </c>
      <c r="CQ45" s="1">
        <v>0</v>
      </c>
      <c r="CR45" s="1">
        <v>1</v>
      </c>
      <c r="CS45" s="1">
        <v>1</v>
      </c>
      <c r="CT45" s="1">
        <v>1</v>
      </c>
      <c r="CU45" s="1">
        <v>0</v>
      </c>
      <c r="CV45" s="1">
        <v>1</v>
      </c>
      <c r="CW45" s="1">
        <v>1</v>
      </c>
      <c r="CX45" s="1">
        <v>1</v>
      </c>
      <c r="CY45" s="1">
        <v>1</v>
      </c>
      <c r="CZ45" s="1">
        <v>0</v>
      </c>
      <c r="DA45" s="1">
        <v>1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1</v>
      </c>
      <c r="DQ45" s="1">
        <v>2</v>
      </c>
      <c r="DR45" s="1">
        <v>3</v>
      </c>
      <c r="DS45" s="1">
        <v>4</v>
      </c>
      <c r="DT45" s="1">
        <v>5</v>
      </c>
      <c r="DU45" s="1">
        <v>6</v>
      </c>
      <c r="DV45" s="1">
        <v>7</v>
      </c>
      <c r="DW45" s="1">
        <v>8</v>
      </c>
      <c r="DX45" s="1">
        <v>9</v>
      </c>
      <c r="DY45" s="1">
        <v>10</v>
      </c>
      <c r="DZ45" s="1">
        <v>11</v>
      </c>
      <c r="EA45" s="1">
        <v>12</v>
      </c>
    </row>
    <row r="46" spans="1:131" x14ac:dyDescent="0.3">
      <c r="A46">
        <v>7965659</v>
      </c>
      <c r="B46" s="1" t="s">
        <v>217</v>
      </c>
      <c r="C46" s="1" t="s">
        <v>24</v>
      </c>
      <c r="D46" s="1">
        <v>2014</v>
      </c>
      <c r="E46" s="1">
        <v>1</v>
      </c>
      <c r="F46" s="10">
        <f>Table3[[#This Row],[First season 
with SF]]+Table3[[#This Row],['# Services 
provided]]</f>
        <v>2</v>
      </c>
      <c r="G46" s="26">
        <f>(Table3[[#This Row],[Total Income 
(Race + Price 
sold + Offs - maintenance cost)]]-Table3[[#This Row],[Price 
Bought]])/Table3[[#This Row],[Price 
Bought]]</f>
        <v>-0.67384811363636377</v>
      </c>
      <c r="H46" s="31">
        <f>Table3[[#This Row],[Race 
earnings]]+Table3[[#This Row],[Price 
Sold]]-Table3[[#This Row],[Maintenance cost]]+Table3[[#This Row],[Total 
profit (Income - cost)]]</f>
        <v>35876.707499999997</v>
      </c>
      <c r="I46" s="3">
        <f>_xlfn.IFNA(VLOOKUP(Table3[[#This Row],[damId]],Sheet1!$A$2:$M$970,5, FALSE), VLOOKUP(Table3[[#This Row],[dam]],Sheet1!$B$2:$M$970,4, FALSE))</f>
        <v>0</v>
      </c>
      <c r="J46" s="3">
        <f>_xlfn.IFNA(VLOOKUP(Table3[[#This Row],[damId]],Sheet1!$A$2:$M$970,13, FALSE), VLOOKUP(Table3[[#This Row],[dam]],Sheet1!$B$2:$M$970,13, FALSE))</f>
        <v>-60000</v>
      </c>
      <c r="K46" s="3">
        <f>_xlfn.IFNA(VLOOKUP(Table3[[#This Row],[damId]],Sheet1!$A$2:$M$970,11, FALSE), VLOOKUP(Table3[[#This Row],[dam]],Sheet1!$B$2:$M$970,11, FALSE))</f>
        <v>110000</v>
      </c>
      <c r="L46" s="3">
        <f>_xlfn.IFNA(VLOOKUP(Table3[[#This Row],[damId]],Sheet1!$A$2:$M$970,12, FALSE), VLOOKUP(Table3[[#This Row],[dam]],Sheet1!$B$2:$M$970,12, FALSE))</f>
        <v>50000</v>
      </c>
      <c r="M46" s="3">
        <f>_xlfn.IFNA(VLOOKUP(Table3[[#This Row],[damId]],Sheet1!$A$2:$T$970,20, FALSE), VLOOKUP(Table3[[#This Row],[dam]],Sheet1!$B$2:$T$970,20, FALSE))*Sheet1!$AD$3</f>
        <v>14917.807500000001</v>
      </c>
      <c r="N46" s="3">
        <f>Table3[[#This Row],[Total 
income (Earnings + value - stud fee)]]-Table3[[#This Row],[Maintenance cost ]]</f>
        <v>794.51499999999942</v>
      </c>
      <c r="O46" s="3">
        <f>SUM(Table3[[#This Row],[income1]:[income12]])</f>
        <v>25000</v>
      </c>
      <c r="P46" s="3">
        <f>_xlfn.IFNA(VLOOKUP(Table3[[#This Row],[damId]],Sheet1!$A$2:$Y$970,23, FALSE), VLOOKUP(Table3[[#This Row],[dam]],Sheet1!$B$2:$Y$970,23, FALSE))*Sheet1!$AD$3</f>
        <v>24205.485000000001</v>
      </c>
      <c r="Q46" s="3">
        <f>SUM(Table3[[#This Row],[earningsInRaces1]:[earningsInRaces12]])</f>
        <v>0</v>
      </c>
      <c r="R46" s="3">
        <f>SUM(Table3[[#This Row],[auctionPrice1]:[auctionPrice12]])</f>
        <v>25000</v>
      </c>
      <c r="S46" s="3">
        <f>SUM(Table3[[#This Row],[studFeeUSD1]:[studFeeUSD12]])</f>
        <v>0</v>
      </c>
      <c r="T46" s="7">
        <f>COUNT(Table3[[#This Row],[successfulService1]:[successfulService12]])</f>
        <v>1</v>
      </c>
      <c r="U46" s="7">
        <f>SUM(Table3[[#This Row],[successfulService1]:[successfulService12]])</f>
        <v>1</v>
      </c>
      <c r="V46" s="7">
        <f>SUM(Table3[[#This Row],[soldInAuction1]:[soldInAuction12]])</f>
        <v>1</v>
      </c>
      <c r="W46" s="7">
        <f>SUM(Table3[[#This Row],[foreignHorse1]:[foreignHorse12]])</f>
        <v>0</v>
      </c>
      <c r="X46" s="3">
        <v>25000</v>
      </c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>
        <v>0</v>
      </c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>
        <v>25000</v>
      </c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>
        <v>0</v>
      </c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1">
        <v>0</v>
      </c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>
        <v>1</v>
      </c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>
        <v>1</v>
      </c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>
        <v>0</v>
      </c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>
        <v>1</v>
      </c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</row>
    <row r="47" spans="1:131" x14ac:dyDescent="0.3">
      <c r="A47">
        <v>8015630</v>
      </c>
      <c r="B47" s="1" t="s">
        <v>230</v>
      </c>
      <c r="C47" s="1" t="s">
        <v>24</v>
      </c>
      <c r="D47" s="1">
        <v>2014</v>
      </c>
      <c r="E47" s="1">
        <v>3</v>
      </c>
      <c r="F47" s="10">
        <f>Table3[[#This Row],[First season 
with SF]]+Table3[[#This Row],['# Services 
provided]]</f>
        <v>4</v>
      </c>
      <c r="G47" s="26">
        <f>(Table3[[#This Row],[Total Income 
(Race + Price 
sold + Offs - maintenance cost)]]-Table3[[#This Row],[Price 
Bought]])/Table3[[#This Row],[Price 
Bought]]</f>
        <v>0.65977779999999986</v>
      </c>
      <c r="H47" s="31">
        <f>Table3[[#This Row],[Race 
earnings]]+Table3[[#This Row],[Price 
Sold]]-Table3[[#This Row],[Maintenance cost]]+Table3[[#This Row],[Total 
profit (Income - cost)]]</f>
        <v>1053958.9029999999</v>
      </c>
      <c r="I47" s="3">
        <f>_xlfn.IFNA(VLOOKUP(Table3[[#This Row],[damId]],Sheet1!$A$2:$M$970,5, FALSE), VLOOKUP(Table3[[#This Row],[dam]],Sheet1!$B$2:$M$970,4, FALSE))</f>
        <v>0</v>
      </c>
      <c r="J47" s="3">
        <f>_xlfn.IFNA(VLOOKUP(Table3[[#This Row],[damId]],Sheet1!$A$2:$M$970,13, FALSE), VLOOKUP(Table3[[#This Row],[dam]],Sheet1!$B$2:$M$970,13, FALSE))</f>
        <v>-295000</v>
      </c>
      <c r="K47" s="3">
        <f>_xlfn.IFNA(VLOOKUP(Table3[[#This Row],[damId]],Sheet1!$A$2:$M$970,11, FALSE), VLOOKUP(Table3[[#This Row],[dam]],Sheet1!$B$2:$M$970,11, FALSE))</f>
        <v>635000</v>
      </c>
      <c r="L47" s="3">
        <f>_xlfn.IFNA(VLOOKUP(Table3[[#This Row],[damId]],Sheet1!$A$2:$M$970,12, FALSE), VLOOKUP(Table3[[#This Row],[dam]],Sheet1!$B$2:$M$970,12, FALSE))</f>
        <v>340000</v>
      </c>
      <c r="M47" s="3">
        <f>_xlfn.IFNA(VLOOKUP(Table3[[#This Row],[damId]],Sheet1!$A$2:$T$970,20, FALSE), VLOOKUP(Table3[[#This Row],[dam]],Sheet1!$B$2:$T$970,20, FALSE))*Sheet1!$AD$3</f>
        <v>14876.712</v>
      </c>
      <c r="N47" s="3">
        <f>Table3[[#This Row],[Total 
income (Earnings + value - stud fee)]]-Table3[[#This Row],[Maintenance cost ]]</f>
        <v>728835.61499999999</v>
      </c>
      <c r="O47" s="3">
        <f>SUM(Table3[[#This Row],[income1]:[income12]])</f>
        <v>750000</v>
      </c>
      <c r="P47" s="3">
        <f>_xlfn.IFNA(VLOOKUP(Table3[[#This Row],[damId]],Sheet1!$A$2:$Y$970,23, FALSE), VLOOKUP(Table3[[#This Row],[dam]],Sheet1!$B$2:$Y$970,23, FALSE))*Sheet1!$AD$3</f>
        <v>21164.385000000002</v>
      </c>
      <c r="Q47" s="3">
        <f>SUM(Table3[[#This Row],[earningsInRaces1]:[earningsInRaces12]])</f>
        <v>0</v>
      </c>
      <c r="R47" s="3">
        <f>SUM(Table3[[#This Row],[auctionPrice1]:[auctionPrice12]])</f>
        <v>750000</v>
      </c>
      <c r="S47" s="3">
        <f>SUM(Table3[[#This Row],[studFeeUSD1]:[studFeeUSD12]])</f>
        <v>0</v>
      </c>
      <c r="T47" s="7">
        <f>COUNT(Table3[[#This Row],[successfulService1]:[successfulService12]])</f>
        <v>1</v>
      </c>
      <c r="U47" s="7">
        <f>SUM(Table3[[#This Row],[successfulService1]:[successfulService12]])</f>
        <v>1</v>
      </c>
      <c r="V47" s="7">
        <f>SUM(Table3[[#This Row],[soldInAuction1]:[soldInAuction12]])</f>
        <v>1</v>
      </c>
      <c r="W47" s="7">
        <f>SUM(Table3[[#This Row],[foreignHorse1]:[foreignHorse12]])</f>
        <v>0</v>
      </c>
      <c r="X47" s="3">
        <v>750000</v>
      </c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>
        <v>0</v>
      </c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>
        <v>750000</v>
      </c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>
        <v>0</v>
      </c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1">
        <v>0</v>
      </c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>
        <v>1</v>
      </c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>
        <v>1</v>
      </c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>
        <v>0</v>
      </c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>
        <v>3</v>
      </c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</row>
    <row r="48" spans="1:131" x14ac:dyDescent="0.3">
      <c r="A48">
        <v>8062492</v>
      </c>
      <c r="B48" s="1" t="s">
        <v>242</v>
      </c>
      <c r="C48" s="1" t="s">
        <v>139</v>
      </c>
      <c r="D48" s="1">
        <v>2014</v>
      </c>
      <c r="E48" s="1">
        <v>1</v>
      </c>
      <c r="F48" s="10">
        <f>Table3[[#This Row],[First season 
with SF]]+Table3[[#This Row],['# Services 
provided]]</f>
        <v>3</v>
      </c>
      <c r="G48" s="26">
        <f>(Table3[[#This Row],[Total Income 
(Race + Price 
sold + Offs - maintenance cost)]]-Table3[[#This Row],[Price 
Bought]])/Table3[[#This Row],[Price 
Bought]]</f>
        <v>0.27302615454545454</v>
      </c>
      <c r="H48" s="31">
        <f>Table3[[#This Row],[Race 
earnings]]+Table3[[#This Row],[Price 
Sold]]-Table3[[#This Row],[Maintenance cost]]+Table3[[#This Row],[Total 
profit (Income - cost)]]</f>
        <v>700164.38500000001</v>
      </c>
      <c r="I48" s="3">
        <f>_xlfn.IFNA(VLOOKUP(Table3[[#This Row],[damId]],Sheet1!$A$2:$M$970,5, FALSE), VLOOKUP(Table3[[#This Row],[dam]],Sheet1!$B$2:$M$970,4, FALSE))</f>
        <v>0</v>
      </c>
      <c r="J48" s="3">
        <f>_xlfn.IFNA(VLOOKUP(Table3[[#This Row],[damId]],Sheet1!$A$2:$M$970,13, FALSE), VLOOKUP(Table3[[#This Row],[dam]],Sheet1!$B$2:$M$970,13, FALSE))</f>
        <v>225000</v>
      </c>
      <c r="K48" s="3">
        <f>_xlfn.IFNA(VLOOKUP(Table3[[#This Row],[damId]],Sheet1!$A$2:$M$970,11, FALSE), VLOOKUP(Table3[[#This Row],[dam]],Sheet1!$B$2:$M$970,11, FALSE))</f>
        <v>550000</v>
      </c>
      <c r="L48" s="3">
        <f>_xlfn.IFNA(VLOOKUP(Table3[[#This Row],[damId]],Sheet1!$A$2:$M$970,12, FALSE), VLOOKUP(Table3[[#This Row],[dam]],Sheet1!$B$2:$M$970,12, FALSE))</f>
        <v>775000</v>
      </c>
      <c r="M48" s="3">
        <f>_xlfn.IFNA(VLOOKUP(Table3[[#This Row],[damId]],Sheet1!$A$2:$T$970,20, FALSE), VLOOKUP(Table3[[#This Row],[dam]],Sheet1!$B$2:$T$970,20, FALSE))*Sheet1!$AD$3</f>
        <v>44835.614999999998</v>
      </c>
      <c r="N48" s="3">
        <f>Table3[[#This Row],[Total 
income (Earnings + value - stud fee)]]-Table3[[#This Row],[Maintenance cost ]]</f>
        <v>-30000</v>
      </c>
      <c r="O48" s="3">
        <f>SUM(Table3[[#This Row],[income1]:[income12]])</f>
        <v>-30000</v>
      </c>
      <c r="P48" s="3">
        <f>_xlfn.IFNA(VLOOKUP(Table3[[#This Row],[damId]],Sheet1!$A$2:$Y$970,23, FALSE), VLOOKUP(Table3[[#This Row],[dam]],Sheet1!$B$2:$Y$970,23, FALSE))*Sheet1!$AD$3</f>
        <v>0</v>
      </c>
      <c r="Q48" s="3">
        <f>SUM(Table3[[#This Row],[earningsInRaces1]:[earningsInRaces12]])</f>
        <v>0</v>
      </c>
      <c r="R48" s="3">
        <f>SUM(Table3[[#This Row],[auctionPrice1]:[auctionPrice12]])</f>
        <v>160000</v>
      </c>
      <c r="S48" s="3">
        <f>SUM(Table3[[#This Row],[studFeeUSD1]:[studFeeUSD12]])</f>
        <v>-190000</v>
      </c>
      <c r="T48" s="7">
        <f>COUNT(Table3[[#This Row],[successfulService1]:[successfulService12]])</f>
        <v>2</v>
      </c>
      <c r="U48" s="7">
        <f>SUM(Table3[[#This Row],[successfulService1]:[successfulService12]])</f>
        <v>2</v>
      </c>
      <c r="V48" s="7">
        <f>SUM(Table3[[#This Row],[soldInAuction1]:[soldInAuction12]])</f>
        <v>2</v>
      </c>
      <c r="W48" s="7">
        <f>SUM(Table3[[#This Row],[foreignHorse1]:[foreignHorse12]])</f>
        <v>0</v>
      </c>
      <c r="X48" s="3">
        <v>-15000</v>
      </c>
      <c r="Y48" s="3">
        <v>-15000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>
        <v>25000</v>
      </c>
      <c r="AW48" s="3">
        <v>135000</v>
      </c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>
        <v>-40000</v>
      </c>
      <c r="BI48" s="3">
        <v>-150000</v>
      </c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>
        <v>1</v>
      </c>
      <c r="CG48" s="1">
        <v>1</v>
      </c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>
        <v>1</v>
      </c>
      <c r="CS48" s="1">
        <v>1</v>
      </c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>
        <v>0</v>
      </c>
      <c r="DE48" s="1">
        <v>0</v>
      </c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>
        <v>1</v>
      </c>
      <c r="DQ48" s="1">
        <v>2</v>
      </c>
      <c r="DR48" s="1"/>
      <c r="DS48" s="1"/>
      <c r="DT48" s="1"/>
      <c r="DU48" s="1"/>
      <c r="DV48" s="1"/>
      <c r="DW48" s="1"/>
      <c r="DX48" s="1"/>
      <c r="DY48" s="1"/>
      <c r="DZ48" s="1"/>
      <c r="EA48" s="1"/>
    </row>
    <row r="49" spans="1:131" x14ac:dyDescent="0.3">
      <c r="A49">
        <v>8266167</v>
      </c>
      <c r="B49" s="1" t="s">
        <v>252</v>
      </c>
      <c r="C49" s="1" t="s">
        <v>24</v>
      </c>
      <c r="D49" s="1">
        <v>2014</v>
      </c>
      <c r="E49" s="1">
        <v>1</v>
      </c>
      <c r="F49" s="10">
        <f>Table3[[#This Row],[First season 
with SF]]+Table3[[#This Row],['# Services 
provided]]</f>
        <v>5</v>
      </c>
      <c r="G49" s="26">
        <f>(Table3[[#This Row],[Total Income 
(Race + Price 
sold + Offs - maintenance cost)]]-Table3[[#This Row],[Price 
Bought]])/Table3[[#This Row],[Price 
Bought]]</f>
        <v>-0.5539082058823529</v>
      </c>
      <c r="H49" s="31">
        <f>Table3[[#This Row],[Race 
earnings]]+Table3[[#This Row],[Price 
Sold]]-Table3[[#This Row],[Maintenance cost]]+Table3[[#This Row],[Total 
profit (Income - cost)]]</f>
        <v>227506.815</v>
      </c>
      <c r="I49" s="3">
        <f>_xlfn.IFNA(VLOOKUP(Table3[[#This Row],[damId]],Sheet1!$A$2:$M$970,5, FALSE), VLOOKUP(Table3[[#This Row],[dam]],Sheet1!$B$2:$M$970,4, FALSE))</f>
        <v>0</v>
      </c>
      <c r="J49" s="3">
        <f>_xlfn.IFNA(VLOOKUP(Table3[[#This Row],[damId]],Sheet1!$A$2:$M$970,13, FALSE), VLOOKUP(Table3[[#This Row],[dam]],Sheet1!$B$2:$M$970,13, FALSE))</f>
        <v>-310000</v>
      </c>
      <c r="K49" s="3">
        <f>_xlfn.IFNA(VLOOKUP(Table3[[#This Row],[damId]],Sheet1!$A$2:$M$970,11, FALSE), VLOOKUP(Table3[[#This Row],[dam]],Sheet1!$B$2:$M$970,11, FALSE))</f>
        <v>510000</v>
      </c>
      <c r="L49" s="3">
        <f>_xlfn.IFNA(VLOOKUP(Table3[[#This Row],[damId]],Sheet1!$A$2:$M$970,12, FALSE), VLOOKUP(Table3[[#This Row],[dam]],Sheet1!$B$2:$M$970,12, FALSE))</f>
        <v>200000</v>
      </c>
      <c r="M49" s="3">
        <f>_xlfn.IFNA(VLOOKUP(Table3[[#This Row],[damId]],Sheet1!$A$2:$T$970,20, FALSE), VLOOKUP(Table3[[#This Row],[dam]],Sheet1!$B$2:$T$970,20, FALSE))*Sheet1!$AD$3</f>
        <v>75082.184999999998</v>
      </c>
      <c r="N49" s="3">
        <f>Table3[[#This Row],[Total 
income (Earnings + value - stud fee)]]-Table3[[#This Row],[Maintenance cost ]]</f>
        <v>102589</v>
      </c>
      <c r="O49" s="3">
        <f>SUM(Table3[[#This Row],[income1]:[income12]])</f>
        <v>295000</v>
      </c>
      <c r="P49" s="3">
        <f>_xlfn.IFNA(VLOOKUP(Table3[[#This Row],[damId]],Sheet1!$A$2:$Y$970,23, FALSE), VLOOKUP(Table3[[#This Row],[dam]],Sheet1!$B$2:$Y$970,23, FALSE))*Sheet1!$AD$3</f>
        <v>192411</v>
      </c>
      <c r="Q49" s="3">
        <f>SUM(Table3[[#This Row],[earningsInRaces1]:[earningsInRaces12]])</f>
        <v>0</v>
      </c>
      <c r="R49" s="3">
        <f>SUM(Table3[[#This Row],[auctionPrice1]:[auctionPrice12]])</f>
        <v>530000</v>
      </c>
      <c r="S49" s="3">
        <f>SUM(Table3[[#This Row],[studFeeUSD1]:[studFeeUSD12]])</f>
        <v>-235000</v>
      </c>
      <c r="T49" s="7">
        <f>COUNT(Table3[[#This Row],[successfulService1]:[successfulService12]])</f>
        <v>4</v>
      </c>
      <c r="U49" s="7">
        <f>SUM(Table3[[#This Row],[successfulService1]:[successfulService12]])</f>
        <v>4</v>
      </c>
      <c r="V49" s="7">
        <f>SUM(Table3[[#This Row],[soldInAuction1]:[soldInAuction12]])</f>
        <v>3</v>
      </c>
      <c r="W49" s="7">
        <f>SUM(Table3[[#This Row],[foreignHorse1]:[foreignHorse12]])</f>
        <v>0</v>
      </c>
      <c r="X49" s="3">
        <v>350000</v>
      </c>
      <c r="Y49" s="3">
        <v>-60000</v>
      </c>
      <c r="Z49" s="3">
        <v>35000</v>
      </c>
      <c r="AA49" s="3">
        <v>-30000</v>
      </c>
      <c r="AB49" s="3"/>
      <c r="AC49" s="3"/>
      <c r="AD49" s="3"/>
      <c r="AE49" s="3"/>
      <c r="AF49" s="3"/>
      <c r="AG49" s="3"/>
      <c r="AH49" s="3"/>
      <c r="AI49" s="3"/>
      <c r="AJ49" s="3">
        <v>0</v>
      </c>
      <c r="AK49" s="3">
        <v>0</v>
      </c>
      <c r="AL49" s="3">
        <v>0</v>
      </c>
      <c r="AM49" s="3">
        <v>0</v>
      </c>
      <c r="AN49" s="3"/>
      <c r="AO49" s="3"/>
      <c r="AP49" s="3"/>
      <c r="AQ49" s="3"/>
      <c r="AR49" s="3"/>
      <c r="AS49" s="3"/>
      <c r="AT49" s="3"/>
      <c r="AU49" s="3"/>
      <c r="AV49" s="3">
        <v>350000</v>
      </c>
      <c r="AW49" s="3"/>
      <c r="AX49" s="3">
        <v>100000</v>
      </c>
      <c r="AY49" s="3">
        <v>80000</v>
      </c>
      <c r="AZ49" s="3"/>
      <c r="BA49" s="3"/>
      <c r="BB49" s="3"/>
      <c r="BC49" s="3"/>
      <c r="BD49" s="3"/>
      <c r="BE49" s="3"/>
      <c r="BF49" s="3"/>
      <c r="BG49" s="3"/>
      <c r="BH49" s="3">
        <v>0</v>
      </c>
      <c r="BI49" s="3">
        <v>-60000</v>
      </c>
      <c r="BJ49" s="3">
        <v>-65000</v>
      </c>
      <c r="BK49" s="3">
        <v>-110000</v>
      </c>
      <c r="BL49" s="3"/>
      <c r="BM49" s="3"/>
      <c r="BN49" s="3"/>
      <c r="BO49" s="3"/>
      <c r="BP49" s="3"/>
      <c r="BQ49" s="3"/>
      <c r="BR49" s="3"/>
      <c r="BS49" s="3"/>
      <c r="BT49" s="1">
        <v>0</v>
      </c>
      <c r="BU49" s="1">
        <v>0</v>
      </c>
      <c r="BV49" s="1">
        <v>0</v>
      </c>
      <c r="BW49" s="1">
        <v>0</v>
      </c>
      <c r="BX49" s="1"/>
      <c r="BY49" s="1"/>
      <c r="BZ49" s="1"/>
      <c r="CA49" s="1"/>
      <c r="CB49" s="1"/>
      <c r="CC49" s="1"/>
      <c r="CD49" s="1"/>
      <c r="CE49" s="1"/>
      <c r="CF49" s="1">
        <v>1</v>
      </c>
      <c r="CG49" s="1">
        <v>1</v>
      </c>
      <c r="CH49" s="1">
        <v>1</v>
      </c>
      <c r="CI49" s="1">
        <v>1</v>
      </c>
      <c r="CJ49" s="1"/>
      <c r="CK49" s="1"/>
      <c r="CL49" s="1"/>
      <c r="CM49" s="1"/>
      <c r="CN49" s="1"/>
      <c r="CO49" s="1"/>
      <c r="CP49" s="1"/>
      <c r="CQ49" s="1"/>
      <c r="CR49" s="1">
        <v>1</v>
      </c>
      <c r="CS49" s="1">
        <v>0</v>
      </c>
      <c r="CT49" s="1">
        <v>1</v>
      </c>
      <c r="CU49" s="1">
        <v>1</v>
      </c>
      <c r="CV49" s="1"/>
      <c r="CW49" s="1"/>
      <c r="CX49" s="1"/>
      <c r="CY49" s="1"/>
      <c r="CZ49" s="1"/>
      <c r="DA49" s="1"/>
      <c r="DB49" s="1"/>
      <c r="DC49" s="1"/>
      <c r="DD49" s="1">
        <v>0</v>
      </c>
      <c r="DE49" s="1">
        <v>0</v>
      </c>
      <c r="DF49" s="1">
        <v>0</v>
      </c>
      <c r="DG49" s="1">
        <v>0</v>
      </c>
      <c r="DH49" s="1"/>
      <c r="DI49" s="1"/>
      <c r="DJ49" s="1"/>
      <c r="DK49" s="1"/>
      <c r="DL49" s="1"/>
      <c r="DM49" s="1"/>
      <c r="DN49" s="1"/>
      <c r="DO49" s="1"/>
      <c r="DP49" s="1">
        <v>1</v>
      </c>
      <c r="DQ49" s="1">
        <v>3</v>
      </c>
      <c r="DR49" s="1">
        <v>4</v>
      </c>
      <c r="DS49" s="1">
        <v>5</v>
      </c>
      <c r="DT49" s="1"/>
      <c r="DU49" s="1"/>
      <c r="DV49" s="1"/>
      <c r="DW49" s="1"/>
      <c r="DX49" s="1"/>
      <c r="DY49" s="1"/>
      <c r="DZ49" s="1"/>
      <c r="EA49" s="1"/>
    </row>
    <row r="50" spans="1:131" x14ac:dyDescent="0.3">
      <c r="A50">
        <v>8293876</v>
      </c>
      <c r="B50" s="1" t="s">
        <v>258</v>
      </c>
      <c r="C50" s="1" t="s">
        <v>24</v>
      </c>
      <c r="D50" s="1">
        <v>2014</v>
      </c>
      <c r="E50" s="1">
        <v>1</v>
      </c>
      <c r="F50" s="10">
        <f>Table3[[#This Row],[First season 
with SF]]+Table3[[#This Row],['# Services 
provided]]</f>
        <v>2</v>
      </c>
      <c r="G50" s="26">
        <f>(Table3[[#This Row],[Total Income 
(Race + Price 
sold + Offs - maintenance cost)]]-Table3[[#This Row],[Price 
Bought]])/Table3[[#This Row],[Price 
Bought]]</f>
        <v>0.62156099999999992</v>
      </c>
      <c r="H50" s="31">
        <f>Table3[[#This Row],[Race 
earnings]]+Table3[[#This Row],[Price 
Sold]]-Table3[[#This Row],[Maintenance cost]]+Table3[[#This Row],[Total 
profit (Income - cost)]]</f>
        <v>1743178.075</v>
      </c>
      <c r="I50" s="3">
        <f>_xlfn.IFNA(VLOOKUP(Table3[[#This Row],[damId]],Sheet1!$A$2:$M$970,5, FALSE), VLOOKUP(Table3[[#This Row],[dam]],Sheet1!$B$2:$M$970,4, FALSE))</f>
        <v>0</v>
      </c>
      <c r="J50" s="3">
        <f>_xlfn.IFNA(VLOOKUP(Table3[[#This Row],[damId]],Sheet1!$A$2:$M$970,13, FALSE), VLOOKUP(Table3[[#This Row],[dam]],Sheet1!$B$2:$M$970,13, FALSE))</f>
        <v>425000</v>
      </c>
      <c r="K50" s="3">
        <f>_xlfn.IFNA(VLOOKUP(Table3[[#This Row],[damId]],Sheet1!$A$2:$M$970,11, FALSE), VLOOKUP(Table3[[#This Row],[dam]],Sheet1!$B$2:$M$970,11, FALSE))</f>
        <v>1075000</v>
      </c>
      <c r="L50" s="3">
        <f>_xlfn.IFNA(VLOOKUP(Table3[[#This Row],[damId]],Sheet1!$A$2:$M$970,12, FALSE), VLOOKUP(Table3[[#This Row],[dam]],Sheet1!$B$2:$M$970,12, FALSE))</f>
        <v>1500000</v>
      </c>
      <c r="M50" s="3">
        <f>_xlfn.IFNA(VLOOKUP(Table3[[#This Row],[damId]],Sheet1!$A$2:$T$970,20, FALSE), VLOOKUP(Table3[[#This Row],[dam]],Sheet1!$B$2:$T$970,20, FALSE))*Sheet1!$AD$3</f>
        <v>15041.1</v>
      </c>
      <c r="N50" s="3">
        <f>Table3[[#This Row],[Total 
income (Earnings + value - stud fee)]]-Table3[[#This Row],[Maintenance cost ]]</f>
        <v>258219.17499999999</v>
      </c>
      <c r="O50" s="3">
        <f>SUM(Table3[[#This Row],[income1]:[income12]])</f>
        <v>280000</v>
      </c>
      <c r="P50" s="3">
        <f>_xlfn.IFNA(VLOOKUP(Table3[[#This Row],[damId]],Sheet1!$A$2:$Y$970,23, FALSE), VLOOKUP(Table3[[#This Row],[dam]],Sheet1!$B$2:$Y$970,23, FALSE))*Sheet1!$AD$3</f>
        <v>21780.825000000001</v>
      </c>
      <c r="Q50" s="3">
        <f>SUM(Table3[[#This Row],[earningsInRaces1]:[earningsInRaces12]])</f>
        <v>0</v>
      </c>
      <c r="R50" s="3">
        <f>SUM(Table3[[#This Row],[auctionPrice1]:[auctionPrice12]])</f>
        <v>280000</v>
      </c>
      <c r="S50" s="3">
        <f>SUM(Table3[[#This Row],[studFeeUSD1]:[studFeeUSD12]])</f>
        <v>0</v>
      </c>
      <c r="T50" s="7">
        <f>COUNT(Table3[[#This Row],[successfulService1]:[successfulService12]])</f>
        <v>1</v>
      </c>
      <c r="U50" s="7">
        <f>SUM(Table3[[#This Row],[successfulService1]:[successfulService12]])</f>
        <v>1</v>
      </c>
      <c r="V50" s="7">
        <f>SUM(Table3[[#This Row],[soldInAuction1]:[soldInAuction12]])</f>
        <v>1</v>
      </c>
      <c r="W50" s="7">
        <f>SUM(Table3[[#This Row],[foreignHorse1]:[foreignHorse12]])</f>
        <v>0</v>
      </c>
      <c r="X50" s="3">
        <v>280000</v>
      </c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>
        <v>0</v>
      </c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>
        <v>280000</v>
      </c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>
        <v>0</v>
      </c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1">
        <v>0</v>
      </c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>
        <v>1</v>
      </c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>
        <v>1</v>
      </c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>
        <v>0</v>
      </c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>
        <v>1</v>
      </c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</row>
    <row r="51" spans="1:131" x14ac:dyDescent="0.3">
      <c r="A51">
        <v>8337664</v>
      </c>
      <c r="B51" s="1" t="s">
        <v>272</v>
      </c>
      <c r="C51" s="1" t="s">
        <v>24</v>
      </c>
      <c r="D51" s="1">
        <v>2014</v>
      </c>
      <c r="E51" s="1">
        <v>2</v>
      </c>
      <c r="F51" s="10">
        <f>Table3[[#This Row],[First season 
with SF]]+Table3[[#This Row],['# Services 
provided]]</f>
        <v>3</v>
      </c>
      <c r="G51" s="26">
        <f>(Table3[[#This Row],[Total Income 
(Race + Price 
sold + Offs - maintenance cost)]]-Table3[[#This Row],[Price 
Bought]])/Table3[[#This Row],[Price 
Bought]]</f>
        <v>1.0648629875000002</v>
      </c>
      <c r="H51" s="31">
        <f>Table3[[#This Row],[Race 
earnings]]+Table3[[#This Row],[Price 
Sold]]-Table3[[#This Row],[Maintenance cost]]+Table3[[#This Row],[Total 
profit (Income - cost)]]</f>
        <v>412972.59750000003</v>
      </c>
      <c r="I51" s="3">
        <f>_xlfn.IFNA(VLOOKUP(Table3[[#This Row],[damId]],Sheet1!$A$2:$M$970,5, FALSE), VLOOKUP(Table3[[#This Row],[dam]],Sheet1!$B$2:$M$970,4, FALSE))</f>
        <v>0</v>
      </c>
      <c r="J51" s="3">
        <f>_xlfn.IFNA(VLOOKUP(Table3[[#This Row],[damId]],Sheet1!$A$2:$M$970,13, FALSE), VLOOKUP(Table3[[#This Row],[dam]],Sheet1!$B$2:$M$970,13, FALSE))</f>
        <v>0</v>
      </c>
      <c r="K51" s="3">
        <f>_xlfn.IFNA(VLOOKUP(Table3[[#This Row],[damId]],Sheet1!$A$2:$M$970,11, FALSE), VLOOKUP(Table3[[#This Row],[dam]],Sheet1!$B$2:$M$970,11, FALSE))</f>
        <v>200000</v>
      </c>
      <c r="L51" s="3">
        <f>_xlfn.IFNA(VLOOKUP(Table3[[#This Row],[damId]],Sheet1!$A$2:$M$970,12, FALSE), VLOOKUP(Table3[[#This Row],[dam]],Sheet1!$B$2:$M$970,12, FALSE))</f>
        <v>200000</v>
      </c>
      <c r="M51" s="3">
        <f>_xlfn.IFNA(VLOOKUP(Table3[[#This Row],[damId]],Sheet1!$A$2:$T$970,20, FALSE), VLOOKUP(Table3[[#This Row],[dam]],Sheet1!$B$2:$T$970,20, FALSE))*Sheet1!$AD$3</f>
        <v>14917.807500000001</v>
      </c>
      <c r="N51" s="3">
        <f>Table3[[#This Row],[Total 
income (Earnings + value - stud fee)]]-Table3[[#This Row],[Maintenance cost ]]</f>
        <v>227890.405</v>
      </c>
      <c r="O51" s="3">
        <f>SUM(Table3[[#This Row],[income1]:[income12]])</f>
        <v>250000</v>
      </c>
      <c r="P51" s="3">
        <f>_xlfn.IFNA(VLOOKUP(Table3[[#This Row],[damId]],Sheet1!$A$2:$Y$970,23, FALSE), VLOOKUP(Table3[[#This Row],[dam]],Sheet1!$B$2:$Y$970,23, FALSE))*Sheet1!$AD$3</f>
        <v>22109.595000000001</v>
      </c>
      <c r="Q51" s="3">
        <f>SUM(Table3[[#This Row],[earningsInRaces1]:[earningsInRaces12]])</f>
        <v>0</v>
      </c>
      <c r="R51" s="3">
        <f>SUM(Table3[[#This Row],[auctionPrice1]:[auctionPrice12]])</f>
        <v>250000</v>
      </c>
      <c r="S51" s="3">
        <f>SUM(Table3[[#This Row],[studFeeUSD1]:[studFeeUSD12]])</f>
        <v>0</v>
      </c>
      <c r="T51" s="7">
        <f>COUNT(Table3[[#This Row],[successfulService1]:[successfulService12]])</f>
        <v>1</v>
      </c>
      <c r="U51" s="7">
        <f>SUM(Table3[[#This Row],[successfulService1]:[successfulService12]])</f>
        <v>1</v>
      </c>
      <c r="V51" s="7">
        <f>SUM(Table3[[#This Row],[soldInAuction1]:[soldInAuction12]])</f>
        <v>1</v>
      </c>
      <c r="W51" s="7">
        <f>SUM(Table3[[#This Row],[foreignHorse1]:[foreignHorse12]])</f>
        <v>0</v>
      </c>
      <c r="X51" s="3">
        <v>250000</v>
      </c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>
        <v>0</v>
      </c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>
        <v>250000</v>
      </c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>
        <v>0</v>
      </c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1">
        <v>0</v>
      </c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>
        <v>1</v>
      </c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>
        <v>1</v>
      </c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>
        <v>0</v>
      </c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>
        <v>2</v>
      </c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</row>
    <row r="52" spans="1:131" x14ac:dyDescent="0.3">
      <c r="A52">
        <v>8605143</v>
      </c>
      <c r="B52" s="1" t="s">
        <v>320</v>
      </c>
      <c r="C52" s="1" t="s">
        <v>24</v>
      </c>
      <c r="D52" s="1">
        <v>2014</v>
      </c>
      <c r="E52" s="1">
        <v>1</v>
      </c>
      <c r="F52" s="10">
        <f>Table3[[#This Row],[First season 
with SF]]+Table3[[#This Row],['# Services 
provided]]</f>
        <v>2</v>
      </c>
      <c r="G52" s="26">
        <f>(Table3[[#This Row],[Total Income 
(Race + Price 
sold + Offs - maintenance cost)]]-Table3[[#This Row],[Price 
Bought]])/Table3[[#This Row],[Price 
Bought]]</f>
        <v>-1.0779843500000001</v>
      </c>
      <c r="H52" s="31">
        <f>Table3[[#This Row],[Race 
earnings]]+Table3[[#This Row],[Price 
Sold]]-Table3[[#This Row],[Maintenance cost]]+Table3[[#This Row],[Total 
profit (Income - cost)]]</f>
        <v>-5458.9045000000006</v>
      </c>
      <c r="I52" s="3">
        <f>_xlfn.IFNA(VLOOKUP(Table3[[#This Row],[damId]],Sheet1!$A$2:$M$970,5, FALSE), VLOOKUP(Table3[[#This Row],[dam]],Sheet1!$B$2:$M$970,4, FALSE))</f>
        <v>0</v>
      </c>
      <c r="J52" s="3">
        <f>_xlfn.IFNA(VLOOKUP(Table3[[#This Row],[damId]],Sheet1!$A$2:$M$970,13, FALSE), VLOOKUP(Table3[[#This Row],[dam]],Sheet1!$B$2:$M$970,13, FALSE))</f>
        <v>-60500</v>
      </c>
      <c r="K52" s="3">
        <f>_xlfn.IFNA(VLOOKUP(Table3[[#This Row],[damId]],Sheet1!$A$2:$M$970,11, FALSE), VLOOKUP(Table3[[#This Row],[dam]],Sheet1!$B$2:$M$970,11, FALSE))</f>
        <v>70000</v>
      </c>
      <c r="L52" s="3">
        <f>_xlfn.IFNA(VLOOKUP(Table3[[#This Row],[damId]],Sheet1!$A$2:$M$970,12, FALSE), VLOOKUP(Table3[[#This Row],[dam]],Sheet1!$B$2:$M$970,12, FALSE))</f>
        <v>9500</v>
      </c>
      <c r="M52" s="3">
        <f>_xlfn.IFNA(VLOOKUP(Table3[[#This Row],[damId]],Sheet1!$A$2:$T$970,20, FALSE), VLOOKUP(Table3[[#This Row],[dam]],Sheet1!$B$2:$T$970,20, FALSE))*Sheet1!$AD$3</f>
        <v>14958.904500000001</v>
      </c>
      <c r="N52" s="3">
        <f>Table3[[#This Row],[Total 
income (Earnings + value - stud fee)]]-Table3[[#This Row],[Maintenance cost ]]</f>
        <v>0</v>
      </c>
      <c r="O52" s="3">
        <f>SUM(Table3[[#This Row],[income1]:[income12]])</f>
        <v>0</v>
      </c>
      <c r="P52" s="3">
        <f>_xlfn.IFNA(VLOOKUP(Table3[[#This Row],[damId]],Sheet1!$A$2:$Y$970,23, FALSE), VLOOKUP(Table3[[#This Row],[dam]],Sheet1!$B$2:$Y$970,23, FALSE))*Sheet1!$AD$3</f>
        <v>0</v>
      </c>
      <c r="Q52" s="3">
        <f>SUM(Table3[[#This Row],[earningsInRaces1]:[earningsInRaces12]])</f>
        <v>0</v>
      </c>
      <c r="R52" s="3">
        <f>SUM(Table3[[#This Row],[auctionPrice1]:[auctionPrice12]])</f>
        <v>0</v>
      </c>
      <c r="S52" s="3">
        <f>SUM(Table3[[#This Row],[studFeeUSD1]:[studFeeUSD12]])</f>
        <v>0</v>
      </c>
      <c r="T52" s="7">
        <f>COUNT(Table3[[#This Row],[successfulService1]:[successfulService12]])</f>
        <v>1</v>
      </c>
      <c r="U52" s="7">
        <f>SUM(Table3[[#This Row],[successfulService1]:[successfulService12]])</f>
        <v>0</v>
      </c>
      <c r="V52" s="7">
        <f>SUM(Table3[[#This Row],[soldInAuction1]:[soldInAuction12]])</f>
        <v>0</v>
      </c>
      <c r="W52" s="7">
        <f>SUM(Table3[[#This Row],[foreignHorse1]:[foreignHorse12]])</f>
        <v>0</v>
      </c>
      <c r="X52" s="3">
        <v>0</v>
      </c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>
        <v>0</v>
      </c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>
        <v>0</v>
      </c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>
        <v>0</v>
      </c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>
        <v>0</v>
      </c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>
        <v>1</v>
      </c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</row>
    <row r="53" spans="1:131" x14ac:dyDescent="0.3">
      <c r="A53">
        <v>8611600</v>
      </c>
      <c r="B53" s="1" t="s">
        <v>323</v>
      </c>
      <c r="C53" s="1" t="s">
        <v>24</v>
      </c>
      <c r="D53" s="1">
        <v>2014</v>
      </c>
      <c r="E53" s="1">
        <v>1</v>
      </c>
      <c r="F53" s="10">
        <f>Table3[[#This Row],[First season 
with SF]]+Table3[[#This Row],['# Services 
provided]]</f>
        <v>10</v>
      </c>
      <c r="G53" s="26">
        <f>(Table3[[#This Row],[Total Income 
(Race + Price 
sold + Offs - maintenance cost)]]-Table3[[#This Row],[Price 
Bought]])/Table3[[#This Row],[Price 
Bought]]</f>
        <v>-1.3615620895522389</v>
      </c>
      <c r="H53" s="31">
        <f>Table3[[#This Row],[Race 
earnings]]+Table3[[#This Row],[Price 
Sold]]-Table3[[#This Row],[Maintenance cost]]+Table3[[#This Row],[Total 
profit (Income - cost)]]</f>
        <v>-24224.660000000003</v>
      </c>
      <c r="I53" s="3">
        <f>_xlfn.IFNA(VLOOKUP(Table3[[#This Row],[damId]],Sheet1!$A$2:$M$970,5, FALSE), VLOOKUP(Table3[[#This Row],[dam]],Sheet1!$B$2:$M$970,4, FALSE))</f>
        <v>0</v>
      </c>
      <c r="J53" s="3">
        <f>_xlfn.IFNA(VLOOKUP(Table3[[#This Row],[damId]],Sheet1!$A$2:$M$970,13, FALSE), VLOOKUP(Table3[[#This Row],[dam]],Sheet1!$B$2:$M$970,13, FALSE))</f>
        <v>-47000</v>
      </c>
      <c r="K53" s="3">
        <f>_xlfn.IFNA(VLOOKUP(Table3[[#This Row],[damId]],Sheet1!$A$2:$M$970,11, FALSE), VLOOKUP(Table3[[#This Row],[dam]],Sheet1!$B$2:$M$970,11, FALSE))</f>
        <v>67000</v>
      </c>
      <c r="L53" s="3">
        <f>_xlfn.IFNA(VLOOKUP(Table3[[#This Row],[damId]],Sheet1!$A$2:$M$970,12, FALSE), VLOOKUP(Table3[[#This Row],[dam]],Sheet1!$B$2:$M$970,12, FALSE))</f>
        <v>20000</v>
      </c>
      <c r="M53" s="3">
        <f>_xlfn.IFNA(VLOOKUP(Table3[[#This Row],[damId]],Sheet1!$A$2:$T$970,20, FALSE), VLOOKUP(Table3[[#This Row],[dam]],Sheet1!$B$2:$T$970,20, FALSE))*Sheet1!$AD$3</f>
        <v>107753.43000000001</v>
      </c>
      <c r="N53" s="3">
        <f>Table3[[#This Row],[Total 
income (Earnings + value - stud fee)]]-Table3[[#This Row],[Maintenance cost ]]</f>
        <v>63528.770000000004</v>
      </c>
      <c r="O53" s="3">
        <f>SUM(Table3[[#This Row],[income1]:[income12]])</f>
        <v>84200</v>
      </c>
      <c r="P53" s="3">
        <f>_xlfn.IFNA(VLOOKUP(Table3[[#This Row],[damId]],Sheet1!$A$2:$Y$970,23, FALSE), VLOOKUP(Table3[[#This Row],[dam]],Sheet1!$B$2:$Y$970,23, FALSE))*Sheet1!$AD$3</f>
        <v>20671.23</v>
      </c>
      <c r="Q53" s="3">
        <f>SUM(Table3[[#This Row],[earningsInRaces1]:[earningsInRaces12]])</f>
        <v>0</v>
      </c>
      <c r="R53" s="3">
        <f>SUM(Table3[[#This Row],[auctionPrice1]:[auctionPrice12]])</f>
        <v>191700</v>
      </c>
      <c r="S53" s="3">
        <f>SUM(Table3[[#This Row],[studFeeUSD1]:[studFeeUSD12]])</f>
        <v>-107500</v>
      </c>
      <c r="T53" s="7">
        <f>COUNT(Table3[[#This Row],[successfulService1]:[successfulService12]])</f>
        <v>9</v>
      </c>
      <c r="U53" s="7">
        <f>SUM(Table3[[#This Row],[successfulService1]:[successfulService12]])</f>
        <v>8</v>
      </c>
      <c r="V53" s="7">
        <f>SUM(Table3[[#This Row],[soldInAuction1]:[soldInAuction12]])</f>
        <v>5</v>
      </c>
      <c r="W53" s="7">
        <f>SUM(Table3[[#This Row],[foreignHorse1]:[foreignHorse12]])</f>
        <v>1</v>
      </c>
      <c r="X53" s="3">
        <v>125000</v>
      </c>
      <c r="Y53" s="3">
        <v>0</v>
      </c>
      <c r="Z53" s="3">
        <v>22000</v>
      </c>
      <c r="AA53" s="3">
        <v>-15000</v>
      </c>
      <c r="AB53" s="3">
        <v>-25000</v>
      </c>
      <c r="AC53" s="3">
        <v>-7500</v>
      </c>
      <c r="AD53" s="3">
        <v>-2800</v>
      </c>
      <c r="AE53" s="3">
        <v>-12500</v>
      </c>
      <c r="AF53" s="3">
        <v>0</v>
      </c>
      <c r="AG53" s="3"/>
      <c r="AH53" s="3"/>
      <c r="AI53" s="3"/>
      <c r="AJ53" s="3">
        <v>0</v>
      </c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>
        <v>125000</v>
      </c>
      <c r="AW53" s="3">
        <v>20000</v>
      </c>
      <c r="AX53" s="3">
        <v>37000</v>
      </c>
      <c r="AY53" s="3"/>
      <c r="AZ53" s="3"/>
      <c r="BA53" s="3">
        <v>5000</v>
      </c>
      <c r="BB53" s="3">
        <v>4700</v>
      </c>
      <c r="BC53" s="3"/>
      <c r="BD53" s="3"/>
      <c r="BE53" s="3"/>
      <c r="BF53" s="3"/>
      <c r="BG53" s="3"/>
      <c r="BH53" s="3">
        <v>0</v>
      </c>
      <c r="BI53" s="3">
        <v>-20000</v>
      </c>
      <c r="BJ53" s="3">
        <v>-15000</v>
      </c>
      <c r="BK53" s="3">
        <v>-15000</v>
      </c>
      <c r="BL53" s="3">
        <v>-25000</v>
      </c>
      <c r="BM53" s="3">
        <v>-12500</v>
      </c>
      <c r="BN53" s="3">
        <v>-7500</v>
      </c>
      <c r="BO53" s="3">
        <v>-12500</v>
      </c>
      <c r="BP53" s="3"/>
      <c r="BQ53" s="3"/>
      <c r="BR53" s="3"/>
      <c r="BS53" s="3"/>
      <c r="BT53" s="1">
        <v>0</v>
      </c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0</v>
      </c>
      <c r="CN53" s="1">
        <v>1</v>
      </c>
      <c r="CO53" s="1"/>
      <c r="CP53" s="1"/>
      <c r="CQ53" s="1"/>
      <c r="CR53" s="1">
        <v>1</v>
      </c>
      <c r="CS53" s="1">
        <v>1</v>
      </c>
      <c r="CT53" s="1">
        <v>1</v>
      </c>
      <c r="CU53" s="1">
        <v>0</v>
      </c>
      <c r="CV53" s="1">
        <v>0</v>
      </c>
      <c r="CW53" s="1">
        <v>1</v>
      </c>
      <c r="CX53" s="1">
        <v>1</v>
      </c>
      <c r="CY53" s="1">
        <v>0</v>
      </c>
      <c r="CZ53" s="1">
        <v>0</v>
      </c>
      <c r="DA53" s="1"/>
      <c r="DB53" s="1"/>
      <c r="DC53" s="1"/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1</v>
      </c>
      <c r="DM53" s="1"/>
      <c r="DN53" s="1"/>
      <c r="DO53" s="1"/>
      <c r="DP53" s="1">
        <v>1</v>
      </c>
      <c r="DQ53" s="1">
        <v>2</v>
      </c>
      <c r="DR53" s="1">
        <v>3</v>
      </c>
      <c r="DS53" s="1">
        <v>4</v>
      </c>
      <c r="DT53" s="1">
        <v>5</v>
      </c>
      <c r="DU53" s="1">
        <v>6</v>
      </c>
      <c r="DV53" s="1">
        <v>7</v>
      </c>
      <c r="DW53" s="1">
        <v>8</v>
      </c>
      <c r="DX53" s="1">
        <v>8</v>
      </c>
      <c r="DY53" s="1"/>
      <c r="DZ53" s="1"/>
      <c r="EA53" s="1"/>
    </row>
    <row r="54" spans="1:131" x14ac:dyDescent="0.3">
      <c r="A54">
        <v>8848899</v>
      </c>
      <c r="B54" s="1" t="s">
        <v>356</v>
      </c>
      <c r="C54" s="1" t="s">
        <v>24</v>
      </c>
      <c r="D54" s="1">
        <v>2014</v>
      </c>
      <c r="E54" s="1">
        <v>1</v>
      </c>
      <c r="F54" s="10">
        <f>Table3[[#This Row],[First season 
with SF]]+Table3[[#This Row],['# Services 
provided]]</f>
        <v>3</v>
      </c>
      <c r="G54" s="26">
        <f>(Table3[[#This Row],[Total Income 
(Race + Price 
sold + Offs - maintenance cost)]]-Table3[[#This Row],[Price 
Bought]])/Table3[[#This Row],[Price 
Bought]]</f>
        <v>-0.14893140000000002</v>
      </c>
      <c r="H54" s="31">
        <f>Table3[[#This Row],[Race 
earnings]]+Table3[[#This Row],[Price 
Sold]]-Table3[[#This Row],[Maintenance cost]]+Table3[[#This Row],[Total 
profit (Income - cost)]]</f>
        <v>106383.575</v>
      </c>
      <c r="I54" s="3">
        <f>_xlfn.IFNA(VLOOKUP(Table3[[#This Row],[damId]],Sheet1!$A$2:$M$970,5, FALSE), VLOOKUP(Table3[[#This Row],[dam]],Sheet1!$B$2:$M$970,4, FALSE))</f>
        <v>0</v>
      </c>
      <c r="J54" s="3">
        <f>_xlfn.IFNA(VLOOKUP(Table3[[#This Row],[damId]],Sheet1!$A$2:$M$970,13, FALSE), VLOOKUP(Table3[[#This Row],[dam]],Sheet1!$B$2:$M$970,13, FALSE))</f>
        <v>-70000</v>
      </c>
      <c r="K54" s="3">
        <f>_xlfn.IFNA(VLOOKUP(Table3[[#This Row],[damId]],Sheet1!$A$2:$M$970,11, FALSE), VLOOKUP(Table3[[#This Row],[dam]],Sheet1!$B$2:$M$970,11, FALSE))</f>
        <v>125000</v>
      </c>
      <c r="L54" s="3">
        <f>_xlfn.IFNA(VLOOKUP(Table3[[#This Row],[damId]],Sheet1!$A$2:$M$970,12, FALSE), VLOOKUP(Table3[[#This Row],[dam]],Sheet1!$B$2:$M$970,12, FALSE))</f>
        <v>55000</v>
      </c>
      <c r="M54" s="3">
        <f>_xlfn.IFNA(VLOOKUP(Table3[[#This Row],[damId]],Sheet1!$A$2:$T$970,20, FALSE), VLOOKUP(Table3[[#This Row],[dam]],Sheet1!$B$2:$T$970,20, FALSE))*Sheet1!$AD$3</f>
        <v>18821.91</v>
      </c>
      <c r="N54" s="3">
        <f>Table3[[#This Row],[Total 
income (Earnings + value - stud fee)]]-Table3[[#This Row],[Maintenance cost ]]</f>
        <v>70205.485000000001</v>
      </c>
      <c r="O54" s="3">
        <f>SUM(Table3[[#This Row],[income1]:[income12]])</f>
        <v>100000</v>
      </c>
      <c r="P54" s="3">
        <f>_xlfn.IFNA(VLOOKUP(Table3[[#This Row],[damId]],Sheet1!$A$2:$Y$970,23, FALSE), VLOOKUP(Table3[[#This Row],[dam]],Sheet1!$B$2:$Y$970,23, FALSE))*Sheet1!$AD$3</f>
        <v>29794.515000000003</v>
      </c>
      <c r="Q54" s="3">
        <f>SUM(Table3[[#This Row],[earningsInRaces1]:[earningsInRaces12]])</f>
        <v>0</v>
      </c>
      <c r="R54" s="3">
        <f>SUM(Table3[[#This Row],[auctionPrice1]:[auctionPrice12]])</f>
        <v>125000</v>
      </c>
      <c r="S54" s="3">
        <f>SUM(Table3[[#This Row],[studFeeUSD1]:[studFeeUSD12]])</f>
        <v>-25000</v>
      </c>
      <c r="T54" s="7">
        <f>COUNT(Table3[[#This Row],[successfulService1]:[successfulService12]])</f>
        <v>2</v>
      </c>
      <c r="U54" s="7">
        <f>SUM(Table3[[#This Row],[successfulService1]:[successfulService12]])</f>
        <v>2</v>
      </c>
      <c r="V54" s="7">
        <f>SUM(Table3[[#This Row],[soldInAuction1]:[soldInAuction12]])</f>
        <v>2</v>
      </c>
      <c r="W54" s="7">
        <f>SUM(Table3[[#This Row],[foreignHorse1]:[foreignHorse12]])</f>
        <v>0</v>
      </c>
      <c r="X54" s="3">
        <v>95000</v>
      </c>
      <c r="Y54" s="3">
        <v>5000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>
        <v>0</v>
      </c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>
        <v>95000</v>
      </c>
      <c r="AW54" s="3">
        <v>30000</v>
      </c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>
        <v>0</v>
      </c>
      <c r="BI54" s="3">
        <v>-25000</v>
      </c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1">
        <v>0</v>
      </c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>
        <v>1</v>
      </c>
      <c r="CG54" s="1">
        <v>1</v>
      </c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>
        <v>1</v>
      </c>
      <c r="CS54" s="1">
        <v>1</v>
      </c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>
        <v>0</v>
      </c>
      <c r="DE54" s="1">
        <v>0</v>
      </c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>
        <v>1</v>
      </c>
      <c r="DQ54" s="1">
        <v>2</v>
      </c>
      <c r="DR54" s="1"/>
      <c r="DS54" s="1"/>
      <c r="DT54" s="1"/>
      <c r="DU54" s="1"/>
      <c r="DV54" s="1"/>
      <c r="DW54" s="1"/>
      <c r="DX54" s="1"/>
      <c r="DY54" s="1"/>
      <c r="DZ54" s="1"/>
      <c r="EA54" s="1"/>
    </row>
    <row r="55" spans="1:131" x14ac:dyDescent="0.3">
      <c r="A55">
        <v>4351699</v>
      </c>
      <c r="B55" s="1" t="s">
        <v>42</v>
      </c>
      <c r="C55" s="1" t="s">
        <v>24</v>
      </c>
      <c r="D55" s="1">
        <v>2015</v>
      </c>
      <c r="E55" s="1">
        <v>13</v>
      </c>
      <c r="F55" s="10">
        <f>Table3[[#This Row],[First season 
with SF]]+Table3[[#This Row],['# Services 
provided]]</f>
        <v>19</v>
      </c>
      <c r="G55" s="26">
        <f>(Table3[[#This Row],[Total Income 
(Race + Price 
sold + Offs - maintenance cost)]]-Table3[[#This Row],[Price 
Bought]])/Table3[[#This Row],[Price 
Bought]]</f>
        <v>-1.6633380263157893</v>
      </c>
      <c r="H55" s="31">
        <f>Table3[[#This Row],[Race 
earnings]]+Table3[[#This Row],[Price 
Sold]]-Table3[[#This Row],[Maintenance cost]]+Table3[[#This Row],[Total 
profit (Income - cost)]]</f>
        <v>-126034.22499999999</v>
      </c>
      <c r="I55" s="3">
        <f>_xlfn.IFNA(VLOOKUP(Table3[[#This Row],[damId]],Sheet1!$A$2:$M$970,5, FALSE), VLOOKUP(Table3[[#This Row],[dam]],Sheet1!$B$2:$M$970,4, FALSE))</f>
        <v>0</v>
      </c>
      <c r="J55" s="3">
        <f>_xlfn.IFNA(VLOOKUP(Table3[[#This Row],[damId]],Sheet1!$A$2:$M$970,13, FALSE), VLOOKUP(Table3[[#This Row],[dam]],Sheet1!$B$2:$M$970,13, FALSE))</f>
        <v>-190000</v>
      </c>
      <c r="K55" s="3">
        <f>_xlfn.IFNA(VLOOKUP(Table3[[#This Row],[damId]],Sheet1!$A$2:$M$970,11, FALSE), VLOOKUP(Table3[[#This Row],[dam]],Sheet1!$B$2:$M$970,11, FALSE))</f>
        <v>190000</v>
      </c>
      <c r="L55" s="3">
        <f>_xlfn.IFNA(VLOOKUP(Table3[[#This Row],[damId]],Sheet1!$A$2:$M$970,12, FALSE), VLOOKUP(Table3[[#This Row],[dam]],Sheet1!$B$2:$M$970,12, FALSE))</f>
        <v>0</v>
      </c>
      <c r="M55" s="3">
        <f>_xlfn.IFNA(VLOOKUP(Table3[[#This Row],[damId]],Sheet1!$A$2:$T$970,20, FALSE), VLOOKUP(Table3[[#This Row],[dam]],Sheet1!$B$2:$T$970,20, FALSE))*Sheet1!$AD$3</f>
        <v>154356.15</v>
      </c>
      <c r="N55" s="3">
        <f>Table3[[#This Row],[Total 
income (Earnings + value - stud fee)]]-Table3[[#This Row],[Maintenance cost ]]</f>
        <v>28321.924999999999</v>
      </c>
      <c r="O55" s="3">
        <f>SUM(Table3[[#This Row],[income1]:[income12]])</f>
        <v>57500</v>
      </c>
      <c r="P55" s="3">
        <f>_xlfn.IFNA(VLOOKUP(Table3[[#This Row],[damId]],Sheet1!$A$2:$Y$970,23, FALSE), VLOOKUP(Table3[[#This Row],[dam]],Sheet1!$B$2:$Y$970,23, FALSE))*Sheet1!$AD$3</f>
        <v>29178.075000000001</v>
      </c>
      <c r="Q55" s="3">
        <f>SUM(Table3[[#This Row],[earningsInRaces1]:[earningsInRaces12]])</f>
        <v>0</v>
      </c>
      <c r="R55" s="3">
        <f>SUM(Table3[[#This Row],[auctionPrice1]:[auctionPrice12]])</f>
        <v>110000</v>
      </c>
      <c r="S55" s="3">
        <f>SUM(Table3[[#This Row],[studFeeUSD1]:[studFeeUSD12]])</f>
        <v>-52500</v>
      </c>
      <c r="T55" s="7">
        <f>COUNT(Table3[[#This Row],[successfulService1]:[successfulService12]])</f>
        <v>6</v>
      </c>
      <c r="U55" s="7">
        <f>SUM(Table3[[#This Row],[successfulService1]:[successfulService12]])</f>
        <v>2</v>
      </c>
      <c r="V55" s="7">
        <f>SUM(Table3[[#This Row],[soldInAuction1]:[soldInAuction12]])</f>
        <v>1</v>
      </c>
      <c r="W55" s="7">
        <f>SUM(Table3[[#This Row],[foreignHorse1]:[foreignHorse12]])</f>
        <v>0</v>
      </c>
      <c r="X55" s="3">
        <v>110000</v>
      </c>
      <c r="Y55" s="3">
        <v>-15000</v>
      </c>
      <c r="Z55" s="3">
        <v>-12500</v>
      </c>
      <c r="AA55" s="3">
        <v>-7500</v>
      </c>
      <c r="AB55" s="3">
        <v>-12500</v>
      </c>
      <c r="AC55" s="3">
        <v>-5000</v>
      </c>
      <c r="AD55" s="3"/>
      <c r="AE55" s="3"/>
      <c r="AF55" s="3"/>
      <c r="AG55" s="3"/>
      <c r="AH55" s="3"/>
      <c r="AI55" s="3"/>
      <c r="AJ55" s="3">
        <v>0</v>
      </c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>
        <v>110000</v>
      </c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>
        <v>0</v>
      </c>
      <c r="BI55" s="3">
        <v>-15000</v>
      </c>
      <c r="BJ55" s="3">
        <v>-12500</v>
      </c>
      <c r="BK55" s="3">
        <v>-7500</v>
      </c>
      <c r="BL55" s="3">
        <v>-12500</v>
      </c>
      <c r="BM55" s="3">
        <v>-5000</v>
      </c>
      <c r="BN55" s="3"/>
      <c r="BO55" s="3"/>
      <c r="BP55" s="3"/>
      <c r="BQ55" s="3"/>
      <c r="BR55" s="3"/>
      <c r="BS55" s="3"/>
      <c r="BT55" s="1">
        <v>0</v>
      </c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>
        <v>1</v>
      </c>
      <c r="CG55" s="1">
        <v>0</v>
      </c>
      <c r="CH55" s="1">
        <v>0</v>
      </c>
      <c r="CI55" s="1">
        <v>0</v>
      </c>
      <c r="CJ55" s="1">
        <v>1</v>
      </c>
      <c r="CK55" s="1">
        <v>0</v>
      </c>
      <c r="CL55" s="1"/>
      <c r="CM55" s="1"/>
      <c r="CN55" s="1"/>
      <c r="CO55" s="1"/>
      <c r="CP55" s="1"/>
      <c r="CQ55" s="1"/>
      <c r="CR55" s="1">
        <v>1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/>
      <c r="CY55" s="1"/>
      <c r="CZ55" s="1"/>
      <c r="DA55" s="1"/>
      <c r="DB55" s="1"/>
      <c r="DC55" s="1"/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/>
      <c r="DK55" s="1"/>
      <c r="DL55" s="1"/>
      <c r="DM55" s="1"/>
      <c r="DN55" s="1"/>
      <c r="DO55" s="1"/>
      <c r="DP55" s="1">
        <v>13</v>
      </c>
      <c r="DQ55" s="1">
        <v>14</v>
      </c>
      <c r="DR55" s="1">
        <v>15</v>
      </c>
      <c r="DS55" s="1">
        <v>16</v>
      </c>
      <c r="DT55" s="1">
        <v>17</v>
      </c>
      <c r="DU55" s="1">
        <v>19</v>
      </c>
      <c r="DV55" s="1"/>
      <c r="DW55" s="1"/>
      <c r="DX55" s="1"/>
      <c r="DY55" s="1"/>
      <c r="DZ55" s="1"/>
      <c r="EA55" s="1"/>
    </row>
    <row r="56" spans="1:131" x14ac:dyDescent="0.3">
      <c r="A56">
        <v>4494884</v>
      </c>
      <c r="B56" s="1" t="s">
        <v>47</v>
      </c>
      <c r="C56" s="1" t="s">
        <v>24</v>
      </c>
      <c r="D56" s="1">
        <v>2015</v>
      </c>
      <c r="E56" s="1">
        <v>11</v>
      </c>
      <c r="F56" s="10">
        <f>Table3[[#This Row],[First season 
with SF]]+Table3[[#This Row],['# Services 
provided]]</f>
        <v>19</v>
      </c>
      <c r="G56" s="26">
        <f>(Table3[[#This Row],[Total Income 
(Race + Price 
sold + Offs - maintenance cost)]]-Table3[[#This Row],[Price 
Bought]])/Table3[[#This Row],[Price 
Bought]]</f>
        <v>-2.4467123508771929</v>
      </c>
      <c r="H56" s="31">
        <f>Table3[[#This Row],[Race 
earnings]]+Table3[[#This Row],[Price 
Sold]]-Table3[[#This Row],[Maintenance cost]]+Table3[[#This Row],[Total 
profit (Income - cost)]]</f>
        <v>-412313.02</v>
      </c>
      <c r="I56" s="3">
        <f>_xlfn.IFNA(VLOOKUP(Table3[[#This Row],[damId]],Sheet1!$A$2:$M$970,5, FALSE), VLOOKUP(Table3[[#This Row],[dam]],Sheet1!$B$2:$M$970,4, FALSE))</f>
        <v>0</v>
      </c>
      <c r="J56" s="3">
        <f>_xlfn.IFNA(VLOOKUP(Table3[[#This Row],[damId]],Sheet1!$A$2:$M$970,13, FALSE), VLOOKUP(Table3[[#This Row],[dam]],Sheet1!$B$2:$M$970,13, FALSE))</f>
        <v>-285000</v>
      </c>
      <c r="K56" s="3">
        <f>_xlfn.IFNA(VLOOKUP(Table3[[#This Row],[damId]],Sheet1!$A$2:$M$970,11, FALSE), VLOOKUP(Table3[[#This Row],[dam]],Sheet1!$B$2:$M$970,11, FALSE))</f>
        <v>285000</v>
      </c>
      <c r="L56" s="3">
        <f>_xlfn.IFNA(VLOOKUP(Table3[[#This Row],[damId]],Sheet1!$A$2:$M$970,12, FALSE), VLOOKUP(Table3[[#This Row],[dam]],Sheet1!$B$2:$M$970,12, FALSE))</f>
        <v>0</v>
      </c>
      <c r="M56" s="3">
        <f>_xlfn.IFNA(VLOOKUP(Table3[[#This Row],[damId]],Sheet1!$A$2:$T$970,20, FALSE), VLOOKUP(Table3[[#This Row],[dam]],Sheet1!$B$2:$T$970,20, FALSE))*Sheet1!$AD$3</f>
        <v>154397.25</v>
      </c>
      <c r="N56" s="3">
        <f>Table3[[#This Row],[Total 
income (Earnings + value - stud fee)]]-Table3[[#This Row],[Maintenance cost ]]</f>
        <v>-257915.77</v>
      </c>
      <c r="O56" s="3">
        <f>SUM(Table3[[#This Row],[income1]:[income12]])</f>
        <v>1481.4799999999996</v>
      </c>
      <c r="P56" s="3">
        <f>_xlfn.IFNA(VLOOKUP(Table3[[#This Row],[damId]],Sheet1!$A$2:$Y$970,23, FALSE), VLOOKUP(Table3[[#This Row],[dam]],Sheet1!$B$2:$Y$970,23, FALSE))*Sheet1!$AD$3</f>
        <v>259397.25</v>
      </c>
      <c r="Q56" s="3">
        <f>SUM(Table3[[#This Row],[earningsInRaces1]:[earningsInRaces12]])</f>
        <v>0</v>
      </c>
      <c r="R56" s="3">
        <f>SUM(Table3[[#This Row],[auctionPrice1]:[auctionPrice12]])</f>
        <v>282500</v>
      </c>
      <c r="S56" s="3">
        <f>SUM(Table3[[#This Row],[studFeeUSD1]:[studFeeUSD12]])</f>
        <v>-281018.52</v>
      </c>
      <c r="T56" s="7">
        <f>COUNT(Table3[[#This Row],[successfulService1]:[successfulService12]])</f>
        <v>8</v>
      </c>
      <c r="U56" s="7">
        <f>SUM(Table3[[#This Row],[successfulService1]:[successfulService12]])</f>
        <v>5</v>
      </c>
      <c r="V56" s="7">
        <f>SUM(Table3[[#This Row],[soldInAuction1]:[soldInAuction12]])</f>
        <v>5</v>
      </c>
      <c r="W56" s="7">
        <f>SUM(Table3[[#This Row],[foreignHorse1]:[foreignHorse12]])</f>
        <v>0</v>
      </c>
      <c r="X56" s="3">
        <v>0</v>
      </c>
      <c r="Y56" s="3">
        <v>-10000</v>
      </c>
      <c r="Z56" s="3">
        <v>-100000</v>
      </c>
      <c r="AA56" s="3">
        <v>22000</v>
      </c>
      <c r="AB56" s="3">
        <v>95000</v>
      </c>
      <c r="AC56" s="3">
        <v>32000</v>
      </c>
      <c r="AD56" s="3">
        <v>-23518.52</v>
      </c>
      <c r="AE56" s="3">
        <v>-14000</v>
      </c>
      <c r="AF56" s="3"/>
      <c r="AG56" s="3"/>
      <c r="AH56" s="3"/>
      <c r="AI56" s="3"/>
      <c r="AJ56" s="3"/>
      <c r="AK56" s="3">
        <v>0</v>
      </c>
      <c r="AL56" s="3"/>
      <c r="AM56" s="3">
        <v>0</v>
      </c>
      <c r="AN56" s="3">
        <v>0</v>
      </c>
      <c r="AO56" s="3">
        <v>0</v>
      </c>
      <c r="AP56" s="3"/>
      <c r="AQ56" s="3">
        <v>0</v>
      </c>
      <c r="AR56" s="3"/>
      <c r="AS56" s="3"/>
      <c r="AT56" s="3"/>
      <c r="AU56" s="3"/>
      <c r="AV56" s="3"/>
      <c r="AW56" s="3">
        <v>20000</v>
      </c>
      <c r="AX56" s="3"/>
      <c r="AY56" s="3">
        <v>72000</v>
      </c>
      <c r="AZ56" s="3">
        <v>125000</v>
      </c>
      <c r="BA56" s="3">
        <v>62000</v>
      </c>
      <c r="BB56" s="3"/>
      <c r="BC56" s="3">
        <v>3500</v>
      </c>
      <c r="BD56" s="3"/>
      <c r="BE56" s="3"/>
      <c r="BF56" s="3"/>
      <c r="BG56" s="3"/>
      <c r="BH56" s="3">
        <v>0</v>
      </c>
      <c r="BI56" s="3">
        <v>-30000</v>
      </c>
      <c r="BJ56" s="3">
        <v>-100000</v>
      </c>
      <c r="BK56" s="3">
        <v>-50000</v>
      </c>
      <c r="BL56" s="3">
        <v>-30000</v>
      </c>
      <c r="BM56" s="3">
        <v>-30000</v>
      </c>
      <c r="BN56" s="3">
        <v>-23518.52</v>
      </c>
      <c r="BO56" s="3">
        <v>-17500</v>
      </c>
      <c r="BP56" s="3"/>
      <c r="BQ56" s="3"/>
      <c r="BR56" s="3"/>
      <c r="BS56" s="3"/>
      <c r="BT56" s="1"/>
      <c r="BU56" s="1">
        <v>0</v>
      </c>
      <c r="BV56" s="1"/>
      <c r="BW56" s="1">
        <v>0</v>
      </c>
      <c r="BX56" s="1">
        <v>0</v>
      </c>
      <c r="BY56" s="1">
        <v>0</v>
      </c>
      <c r="BZ56" s="1"/>
      <c r="CA56" s="1">
        <v>0</v>
      </c>
      <c r="CB56" s="1"/>
      <c r="CC56" s="1"/>
      <c r="CD56" s="1"/>
      <c r="CE56" s="1"/>
      <c r="CF56" s="1">
        <v>0</v>
      </c>
      <c r="CG56" s="1">
        <v>1</v>
      </c>
      <c r="CH56" s="1">
        <v>0</v>
      </c>
      <c r="CI56" s="1">
        <v>1</v>
      </c>
      <c r="CJ56" s="1">
        <v>1</v>
      </c>
      <c r="CK56" s="1">
        <v>1</v>
      </c>
      <c r="CL56" s="1">
        <v>0</v>
      </c>
      <c r="CM56" s="1">
        <v>1</v>
      </c>
      <c r="CN56" s="1"/>
      <c r="CO56" s="1"/>
      <c r="CP56" s="1"/>
      <c r="CQ56" s="1"/>
      <c r="CR56" s="1">
        <v>0</v>
      </c>
      <c r="CS56" s="1">
        <v>1</v>
      </c>
      <c r="CT56" s="1">
        <v>0</v>
      </c>
      <c r="CU56" s="1">
        <v>1</v>
      </c>
      <c r="CV56" s="1">
        <v>1</v>
      </c>
      <c r="CW56" s="1">
        <v>1</v>
      </c>
      <c r="CX56" s="1">
        <v>0</v>
      </c>
      <c r="CY56" s="1">
        <v>1</v>
      </c>
      <c r="CZ56" s="1"/>
      <c r="DA56" s="1"/>
      <c r="DB56" s="1"/>
      <c r="DC56" s="1"/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/>
      <c r="DM56" s="1"/>
      <c r="DN56" s="1"/>
      <c r="DO56" s="1"/>
      <c r="DP56" s="1">
        <v>11</v>
      </c>
      <c r="DQ56" s="1">
        <v>12</v>
      </c>
      <c r="DR56" s="1">
        <v>13</v>
      </c>
      <c r="DS56" s="1">
        <v>14</v>
      </c>
      <c r="DT56" s="1">
        <v>15</v>
      </c>
      <c r="DU56" s="1">
        <v>16</v>
      </c>
      <c r="DV56" s="1">
        <v>17</v>
      </c>
      <c r="DW56" s="1">
        <v>18</v>
      </c>
      <c r="DX56" s="1"/>
      <c r="DY56" s="1"/>
      <c r="DZ56" s="1"/>
      <c r="EA56" s="1"/>
    </row>
    <row r="57" spans="1:131" x14ac:dyDescent="0.3">
      <c r="A57">
        <v>4495846</v>
      </c>
      <c r="B57" s="1" t="s">
        <v>49</v>
      </c>
      <c r="C57" s="1" t="s">
        <v>24</v>
      </c>
      <c r="D57" s="1">
        <v>2015</v>
      </c>
      <c r="E57" s="1">
        <v>10</v>
      </c>
      <c r="F57" s="10">
        <f>Table3[[#This Row],[First season 
with SF]]+Table3[[#This Row],['# Services 
provided]]</f>
        <v>15</v>
      </c>
      <c r="G57" s="26">
        <f>(Table3[[#This Row],[Total Income 
(Race + Price 
sold + Offs - maintenance cost)]]-Table3[[#This Row],[Price 
Bought]])/Table3[[#This Row],[Price 
Bought]]</f>
        <v>-2.1810501666666666</v>
      </c>
      <c r="H57" s="31">
        <f>Table3[[#This Row],[Race 
earnings]]+Table3[[#This Row],[Price 
Sold]]-Table3[[#This Row],[Maintenance cost]]+Table3[[#This Row],[Total 
profit (Income - cost)]]</f>
        <v>-248020.535</v>
      </c>
      <c r="I57" s="3">
        <f>_xlfn.IFNA(VLOOKUP(Table3[[#This Row],[damId]],Sheet1!$A$2:$M$970,5, FALSE), VLOOKUP(Table3[[#This Row],[dam]],Sheet1!$B$2:$M$970,4, FALSE))</f>
        <v>0</v>
      </c>
      <c r="J57" s="3">
        <f>_xlfn.IFNA(VLOOKUP(Table3[[#This Row],[damId]],Sheet1!$A$2:$M$970,13, FALSE), VLOOKUP(Table3[[#This Row],[dam]],Sheet1!$B$2:$M$970,13, FALSE))</f>
        <v>-210000</v>
      </c>
      <c r="K57" s="3">
        <f>_xlfn.IFNA(VLOOKUP(Table3[[#This Row],[damId]],Sheet1!$A$2:$M$970,11, FALSE), VLOOKUP(Table3[[#This Row],[dam]],Sheet1!$B$2:$M$970,11, FALSE))</f>
        <v>210000</v>
      </c>
      <c r="L57" s="3">
        <f>_xlfn.IFNA(VLOOKUP(Table3[[#This Row],[damId]],Sheet1!$A$2:$M$970,12, FALSE), VLOOKUP(Table3[[#This Row],[dam]],Sheet1!$B$2:$M$970,12, FALSE))</f>
        <v>0</v>
      </c>
      <c r="M57" s="3">
        <f>_xlfn.IFNA(VLOOKUP(Table3[[#This Row],[damId]],Sheet1!$A$2:$T$970,20, FALSE), VLOOKUP(Table3[[#This Row],[dam]],Sheet1!$B$2:$T$970,20, FALSE))*Sheet1!$AD$3</f>
        <v>169438.35</v>
      </c>
      <c r="N57" s="3">
        <f>Table3[[#This Row],[Total 
income (Earnings + value - stud fee)]]-Table3[[#This Row],[Maintenance cost ]]</f>
        <v>-78582.184999999998</v>
      </c>
      <c r="O57" s="3">
        <f>SUM(Table3[[#This Row],[income1]:[income12]])</f>
        <v>-57500</v>
      </c>
      <c r="P57" s="3">
        <f>_xlfn.IFNA(VLOOKUP(Table3[[#This Row],[damId]],Sheet1!$A$2:$Y$970,23, FALSE), VLOOKUP(Table3[[#This Row],[dam]],Sheet1!$B$2:$Y$970,23, FALSE))*Sheet1!$AD$3</f>
        <v>21082.184999999998</v>
      </c>
      <c r="Q57" s="3">
        <f>SUM(Table3[[#This Row],[earningsInRaces1]:[earningsInRaces12]])</f>
        <v>0</v>
      </c>
      <c r="R57" s="3">
        <f>SUM(Table3[[#This Row],[auctionPrice1]:[auctionPrice12]])</f>
        <v>15000</v>
      </c>
      <c r="S57" s="3">
        <f>SUM(Table3[[#This Row],[studFeeUSD1]:[studFeeUSD12]])</f>
        <v>-72500</v>
      </c>
      <c r="T57" s="7">
        <f>COUNT(Table3[[#This Row],[successfulService1]:[successfulService12]])</f>
        <v>5</v>
      </c>
      <c r="U57" s="7">
        <f>SUM(Table3[[#This Row],[successfulService1]:[successfulService12]])</f>
        <v>1</v>
      </c>
      <c r="V57" s="7">
        <f>SUM(Table3[[#This Row],[soldInAuction1]:[soldInAuction12]])</f>
        <v>1</v>
      </c>
      <c r="W57" s="7">
        <f>SUM(Table3[[#This Row],[foreignHorse1]:[foreignHorse12]])</f>
        <v>0</v>
      </c>
      <c r="X57" s="3">
        <v>-15000</v>
      </c>
      <c r="Y57" s="3">
        <v>-5000</v>
      </c>
      <c r="Z57" s="3">
        <v>-12500</v>
      </c>
      <c r="AA57" s="3">
        <v>-15000</v>
      </c>
      <c r="AB57" s="3">
        <v>-10000</v>
      </c>
      <c r="AC57" s="3"/>
      <c r="AD57" s="3"/>
      <c r="AE57" s="3"/>
      <c r="AF57" s="3"/>
      <c r="AG57" s="3"/>
      <c r="AH57" s="3"/>
      <c r="AI57" s="3"/>
      <c r="AJ57" s="3"/>
      <c r="AK57" s="3">
        <v>0</v>
      </c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>
        <v>15000</v>
      </c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>
        <v>-15000</v>
      </c>
      <c r="BI57" s="3">
        <v>-20000</v>
      </c>
      <c r="BJ57" s="3">
        <v>-12500</v>
      </c>
      <c r="BK57" s="3">
        <v>-15000</v>
      </c>
      <c r="BL57" s="3">
        <v>-10000</v>
      </c>
      <c r="BM57" s="3"/>
      <c r="BN57" s="3"/>
      <c r="BO57" s="3"/>
      <c r="BP57" s="3"/>
      <c r="BQ57" s="3"/>
      <c r="BR57" s="3"/>
      <c r="BS57" s="3"/>
      <c r="BT57" s="1"/>
      <c r="BU57" s="1">
        <v>0</v>
      </c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>
        <v>0</v>
      </c>
      <c r="CG57" s="1">
        <v>1</v>
      </c>
      <c r="CH57" s="1">
        <v>0</v>
      </c>
      <c r="CI57" s="1">
        <v>0</v>
      </c>
      <c r="CJ57" s="1">
        <v>0</v>
      </c>
      <c r="CK57" s="1"/>
      <c r="CL57" s="1"/>
      <c r="CM57" s="1"/>
      <c r="CN57" s="1"/>
      <c r="CO57" s="1"/>
      <c r="CP57" s="1"/>
      <c r="CQ57" s="1"/>
      <c r="CR57" s="1">
        <v>0</v>
      </c>
      <c r="CS57" s="1">
        <v>1</v>
      </c>
      <c r="CT57" s="1">
        <v>0</v>
      </c>
      <c r="CU57" s="1">
        <v>0</v>
      </c>
      <c r="CV57" s="1">
        <v>0</v>
      </c>
      <c r="CW57" s="1"/>
      <c r="CX57" s="1"/>
      <c r="CY57" s="1"/>
      <c r="CZ57" s="1"/>
      <c r="DA57" s="1"/>
      <c r="DB57" s="1"/>
      <c r="DC57" s="1"/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/>
      <c r="DJ57" s="1"/>
      <c r="DK57" s="1"/>
      <c r="DL57" s="1"/>
      <c r="DM57" s="1"/>
      <c r="DN57" s="1"/>
      <c r="DO57" s="1"/>
      <c r="DP57" s="1">
        <v>10</v>
      </c>
      <c r="DQ57" s="1">
        <v>11</v>
      </c>
      <c r="DR57" s="1">
        <v>12</v>
      </c>
      <c r="DS57" s="1">
        <v>13</v>
      </c>
      <c r="DT57" s="1">
        <v>14</v>
      </c>
      <c r="DU57" s="1"/>
      <c r="DV57" s="1"/>
      <c r="DW57" s="1"/>
      <c r="DX57" s="1"/>
      <c r="DY57" s="1"/>
      <c r="DZ57" s="1"/>
      <c r="EA57" s="1"/>
    </row>
    <row r="58" spans="1:131" x14ac:dyDescent="0.3">
      <c r="A58">
        <v>4508626</v>
      </c>
      <c r="B58" s="1" t="s">
        <v>51</v>
      </c>
      <c r="C58" s="1" t="s">
        <v>24</v>
      </c>
      <c r="D58" s="1">
        <v>2015</v>
      </c>
      <c r="E58" s="1">
        <v>12</v>
      </c>
      <c r="F58" s="10">
        <f>Table3[[#This Row],[First season 
with SF]]+Table3[[#This Row],['# Services 
provided]]</f>
        <v>16</v>
      </c>
      <c r="G58" s="26">
        <f>(Table3[[#This Row],[Total Income 
(Race + Price 
sold + Offs - maintenance cost)]]-Table3[[#This Row],[Price 
Bought]])/Table3[[#This Row],[Price 
Bought]]</f>
        <v>-2.7777247826086953</v>
      </c>
      <c r="H58" s="31">
        <f>Table3[[#This Row],[Race 
earnings]]+Table3[[#This Row],[Price 
Sold]]-Table3[[#This Row],[Maintenance cost]]+Table3[[#This Row],[Total 
profit (Income - cost)]]</f>
        <v>-204438.35</v>
      </c>
      <c r="I58" s="3">
        <f>_xlfn.IFNA(VLOOKUP(Table3[[#This Row],[damId]],Sheet1!$A$2:$M$970,5, FALSE), VLOOKUP(Table3[[#This Row],[dam]],Sheet1!$B$2:$M$970,4, FALSE))</f>
        <v>0</v>
      </c>
      <c r="J58" s="3">
        <f>_xlfn.IFNA(VLOOKUP(Table3[[#This Row],[damId]],Sheet1!$A$2:$M$970,13, FALSE), VLOOKUP(Table3[[#This Row],[dam]],Sheet1!$B$2:$M$970,13, FALSE))</f>
        <v>-115000</v>
      </c>
      <c r="K58" s="3">
        <f>_xlfn.IFNA(VLOOKUP(Table3[[#This Row],[damId]],Sheet1!$A$2:$M$970,11, FALSE), VLOOKUP(Table3[[#This Row],[dam]],Sheet1!$B$2:$M$970,11, FALSE))</f>
        <v>115000</v>
      </c>
      <c r="L58" s="3">
        <f>_xlfn.IFNA(VLOOKUP(Table3[[#This Row],[damId]],Sheet1!$A$2:$M$970,12, FALSE), VLOOKUP(Table3[[#This Row],[dam]],Sheet1!$B$2:$M$970,12, FALSE))</f>
        <v>0</v>
      </c>
      <c r="M58" s="3">
        <f>_xlfn.IFNA(VLOOKUP(Table3[[#This Row],[damId]],Sheet1!$A$2:$T$970,20, FALSE), VLOOKUP(Table3[[#This Row],[dam]],Sheet1!$B$2:$T$970,20, FALSE))*Sheet1!$AD$3</f>
        <v>154438.35</v>
      </c>
      <c r="N58" s="3">
        <f>Table3[[#This Row],[Total 
income (Earnings + value - stud fee)]]-Table3[[#This Row],[Maintenance cost ]]</f>
        <v>-50000</v>
      </c>
      <c r="O58" s="3">
        <f>SUM(Table3[[#This Row],[income1]:[income12]])</f>
        <v>-50000</v>
      </c>
      <c r="P58" s="3">
        <f>_xlfn.IFNA(VLOOKUP(Table3[[#This Row],[damId]],Sheet1!$A$2:$Y$970,23, FALSE), VLOOKUP(Table3[[#This Row],[dam]],Sheet1!$B$2:$Y$970,23, FALSE))*Sheet1!$AD$3</f>
        <v>0</v>
      </c>
      <c r="Q58" s="3">
        <f>SUM(Table3[[#This Row],[earningsInRaces1]:[earningsInRaces12]])</f>
        <v>0</v>
      </c>
      <c r="R58" s="3">
        <f>SUM(Table3[[#This Row],[auctionPrice1]:[auctionPrice12]])</f>
        <v>0</v>
      </c>
      <c r="S58" s="3">
        <f>SUM(Table3[[#This Row],[studFeeUSD1]:[studFeeUSD12]])</f>
        <v>-50000</v>
      </c>
      <c r="T58" s="7">
        <f>COUNT(Table3[[#This Row],[successfulService1]:[successfulService12]])</f>
        <v>4</v>
      </c>
      <c r="U58" s="7">
        <f>SUM(Table3[[#This Row],[successfulService1]:[successfulService12]])</f>
        <v>1</v>
      </c>
      <c r="V58" s="7">
        <f>SUM(Table3[[#This Row],[soldInAuction1]:[soldInAuction12]])</f>
        <v>0</v>
      </c>
      <c r="W58" s="7">
        <f>SUM(Table3[[#This Row],[foreignHorse1]:[foreignHorse12]])</f>
        <v>0</v>
      </c>
      <c r="X58" s="3">
        <v>0</v>
      </c>
      <c r="Y58" s="3">
        <v>-12500</v>
      </c>
      <c r="Z58" s="3">
        <v>-12500</v>
      </c>
      <c r="AA58" s="3">
        <v>-25000</v>
      </c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>
        <v>0</v>
      </c>
      <c r="BI58" s="3">
        <v>-12500</v>
      </c>
      <c r="BJ58" s="3">
        <v>-12500</v>
      </c>
      <c r="BK58" s="3">
        <v>-25000</v>
      </c>
      <c r="BL58" s="3"/>
      <c r="BM58" s="3"/>
      <c r="BN58" s="3"/>
      <c r="BO58" s="3"/>
      <c r="BP58" s="3"/>
      <c r="BQ58" s="3"/>
      <c r="BR58" s="3"/>
      <c r="BS58" s="3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>
        <v>1</v>
      </c>
      <c r="CG58" s="1">
        <v>0</v>
      </c>
      <c r="CH58" s="1">
        <v>0</v>
      </c>
      <c r="CI58" s="1">
        <v>0</v>
      </c>
      <c r="CJ58" s="1"/>
      <c r="CK58" s="1"/>
      <c r="CL58" s="1"/>
      <c r="CM58" s="1"/>
      <c r="CN58" s="1"/>
      <c r="CO58" s="1"/>
      <c r="CP58" s="1"/>
      <c r="CQ58" s="1"/>
      <c r="CR58" s="1">
        <v>0</v>
      </c>
      <c r="CS58" s="1">
        <v>0</v>
      </c>
      <c r="CT58" s="1">
        <v>0</v>
      </c>
      <c r="CU58" s="1">
        <v>0</v>
      </c>
      <c r="CV58" s="1"/>
      <c r="CW58" s="1"/>
      <c r="CX58" s="1"/>
      <c r="CY58" s="1"/>
      <c r="CZ58" s="1"/>
      <c r="DA58" s="1"/>
      <c r="DB58" s="1"/>
      <c r="DC58" s="1"/>
      <c r="DD58" s="1">
        <v>0</v>
      </c>
      <c r="DE58" s="1">
        <v>0</v>
      </c>
      <c r="DF58" s="1">
        <v>0</v>
      </c>
      <c r="DG58" s="1">
        <v>0</v>
      </c>
      <c r="DH58" s="1"/>
      <c r="DI58" s="1"/>
      <c r="DJ58" s="1"/>
      <c r="DK58" s="1"/>
      <c r="DL58" s="1"/>
      <c r="DM58" s="1"/>
      <c r="DN58" s="1"/>
      <c r="DO58" s="1"/>
      <c r="DP58" s="1">
        <v>12</v>
      </c>
      <c r="DQ58" s="1">
        <v>13</v>
      </c>
      <c r="DR58" s="1">
        <v>14</v>
      </c>
      <c r="DS58" s="1">
        <v>15</v>
      </c>
      <c r="DT58" s="1"/>
      <c r="DU58" s="1"/>
      <c r="DV58" s="1"/>
      <c r="DW58" s="1"/>
      <c r="DX58" s="1"/>
      <c r="DY58" s="1"/>
      <c r="DZ58" s="1"/>
      <c r="EA58" s="1"/>
    </row>
    <row r="59" spans="1:131" x14ac:dyDescent="0.3">
      <c r="A59">
        <v>5014355</v>
      </c>
      <c r="B59" s="1" t="s">
        <v>63</v>
      </c>
      <c r="C59" s="1" t="s">
        <v>24</v>
      </c>
      <c r="D59" s="1">
        <v>2015</v>
      </c>
      <c r="E59" s="1">
        <v>13</v>
      </c>
      <c r="F59" s="10">
        <f>Table3[[#This Row],[First season 
with SF]]+Table3[[#This Row],['# Services 
provided]]</f>
        <v>16</v>
      </c>
      <c r="G59" s="26">
        <f>(Table3[[#This Row],[Total Income 
(Race + Price 
sold + Offs - maintenance cost)]]-Table3[[#This Row],[Price 
Bought]])/Table3[[#This Row],[Price 
Bought]]</f>
        <v>0.40253026470588249</v>
      </c>
      <c r="H59" s="31">
        <f>Table3[[#This Row],[Race 
earnings]]+Table3[[#This Row],[Price 
Sold]]-Table3[[#This Row],[Maintenance cost]]+Table3[[#This Row],[Total 
profit (Income - cost)]]</f>
        <v>476860.29000000004</v>
      </c>
      <c r="I59" s="3">
        <f>_xlfn.IFNA(VLOOKUP(Table3[[#This Row],[damId]],Sheet1!$A$2:$M$970,5, FALSE), VLOOKUP(Table3[[#This Row],[dam]],Sheet1!$B$2:$M$970,4, FALSE))</f>
        <v>0</v>
      </c>
      <c r="J59" s="3">
        <f>_xlfn.IFNA(VLOOKUP(Table3[[#This Row],[damId]],Sheet1!$A$2:$M$970,13, FALSE), VLOOKUP(Table3[[#This Row],[dam]],Sheet1!$B$2:$M$970,13, FALSE))</f>
        <v>-340000</v>
      </c>
      <c r="K59" s="3">
        <f>_xlfn.IFNA(VLOOKUP(Table3[[#This Row],[damId]],Sheet1!$A$2:$M$970,11, FALSE), VLOOKUP(Table3[[#This Row],[dam]],Sheet1!$B$2:$M$970,11, FALSE))</f>
        <v>340000</v>
      </c>
      <c r="L59" s="3">
        <f>_xlfn.IFNA(VLOOKUP(Table3[[#This Row],[damId]],Sheet1!$A$2:$M$970,12, FALSE), VLOOKUP(Table3[[#This Row],[dam]],Sheet1!$B$2:$M$970,12, FALSE))</f>
        <v>0</v>
      </c>
      <c r="M59" s="3">
        <f>_xlfn.IFNA(VLOOKUP(Table3[[#This Row],[damId]],Sheet1!$A$2:$T$970,20, FALSE), VLOOKUP(Table3[[#This Row],[dam]],Sheet1!$B$2:$T$970,20, FALSE))*Sheet1!$AD$3</f>
        <v>154397.25</v>
      </c>
      <c r="N59" s="3">
        <f>Table3[[#This Row],[Total 
income (Earnings + value - stud fee)]]-Table3[[#This Row],[Maintenance cost ]]</f>
        <v>631257.54</v>
      </c>
      <c r="O59" s="3">
        <f>SUM(Table3[[#This Row],[income1]:[income12]])</f>
        <v>714600</v>
      </c>
      <c r="P59" s="3">
        <f>_xlfn.IFNA(VLOOKUP(Table3[[#This Row],[damId]],Sheet1!$A$2:$Y$970,23, FALSE), VLOOKUP(Table3[[#This Row],[dam]],Sheet1!$B$2:$Y$970,23, FALSE))*Sheet1!$AD$3</f>
        <v>83342.459999999992</v>
      </c>
      <c r="Q59" s="3">
        <f>SUM(Table3[[#This Row],[earningsInRaces1]:[earningsInRaces12]])</f>
        <v>44600</v>
      </c>
      <c r="R59" s="3">
        <f>SUM(Table3[[#This Row],[auctionPrice1]:[auctionPrice12]])</f>
        <v>835000</v>
      </c>
      <c r="S59" s="3">
        <f>SUM(Table3[[#This Row],[studFeeUSD1]:[studFeeUSD12]])</f>
        <v>-165000</v>
      </c>
      <c r="T59" s="7">
        <f>COUNT(Table3[[#This Row],[successfulService1]:[successfulService12]])</f>
        <v>3</v>
      </c>
      <c r="U59" s="7">
        <f>SUM(Table3[[#This Row],[successfulService1]:[successfulService12]])</f>
        <v>2</v>
      </c>
      <c r="V59" s="7">
        <f>SUM(Table3[[#This Row],[soldInAuction1]:[soldInAuction12]])</f>
        <v>2</v>
      </c>
      <c r="W59" s="7">
        <f>SUM(Table3[[#This Row],[foreignHorse1]:[foreignHorse12]])</f>
        <v>0</v>
      </c>
      <c r="X59" s="3">
        <v>604600</v>
      </c>
      <c r="Y59" s="3">
        <v>150000</v>
      </c>
      <c r="Z59" s="3">
        <v>-40000</v>
      </c>
      <c r="AA59" s="3"/>
      <c r="AB59" s="3"/>
      <c r="AC59" s="3"/>
      <c r="AD59" s="3"/>
      <c r="AE59" s="3"/>
      <c r="AF59" s="3"/>
      <c r="AG59" s="3"/>
      <c r="AH59" s="3"/>
      <c r="AI59" s="3"/>
      <c r="AJ59" s="3">
        <v>44600</v>
      </c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>
        <v>560000</v>
      </c>
      <c r="AW59" s="3">
        <v>275000</v>
      </c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>
        <v>0</v>
      </c>
      <c r="BI59" s="3">
        <v>-125000</v>
      </c>
      <c r="BJ59" s="3">
        <v>-40000</v>
      </c>
      <c r="BK59" s="3"/>
      <c r="BL59" s="3"/>
      <c r="BM59" s="3"/>
      <c r="BN59" s="3"/>
      <c r="BO59" s="3"/>
      <c r="BP59" s="3"/>
      <c r="BQ59" s="3"/>
      <c r="BR59" s="3"/>
      <c r="BS59" s="3"/>
      <c r="BT59" s="1">
        <v>1</v>
      </c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>
        <v>1</v>
      </c>
      <c r="CG59" s="1">
        <v>1</v>
      </c>
      <c r="CH59" s="1">
        <v>0</v>
      </c>
      <c r="CI59" s="1"/>
      <c r="CJ59" s="1"/>
      <c r="CK59" s="1"/>
      <c r="CL59" s="1"/>
      <c r="CM59" s="1"/>
      <c r="CN59" s="1"/>
      <c r="CO59" s="1"/>
      <c r="CP59" s="1"/>
      <c r="CQ59" s="1"/>
      <c r="CR59" s="1">
        <v>1</v>
      </c>
      <c r="CS59" s="1">
        <v>1</v>
      </c>
      <c r="CT59" s="1">
        <v>0</v>
      </c>
      <c r="CU59" s="1"/>
      <c r="CV59" s="1"/>
      <c r="CW59" s="1"/>
      <c r="CX59" s="1"/>
      <c r="CY59" s="1"/>
      <c r="CZ59" s="1"/>
      <c r="DA59" s="1"/>
      <c r="DB59" s="1"/>
      <c r="DC59" s="1"/>
      <c r="DD59" s="1">
        <v>0</v>
      </c>
      <c r="DE59" s="1">
        <v>0</v>
      </c>
      <c r="DF59" s="1">
        <v>0</v>
      </c>
      <c r="DG59" s="1"/>
      <c r="DH59" s="1"/>
      <c r="DI59" s="1"/>
      <c r="DJ59" s="1"/>
      <c r="DK59" s="1"/>
      <c r="DL59" s="1"/>
      <c r="DM59" s="1"/>
      <c r="DN59" s="1"/>
      <c r="DO59" s="1"/>
      <c r="DP59" s="1">
        <v>13</v>
      </c>
      <c r="DQ59" s="1">
        <v>15</v>
      </c>
      <c r="DR59" s="1">
        <v>17</v>
      </c>
      <c r="DS59" s="1"/>
      <c r="DT59" s="1"/>
      <c r="DU59" s="1"/>
      <c r="DV59" s="1"/>
      <c r="DW59" s="1"/>
      <c r="DX59" s="1"/>
      <c r="DY59" s="1"/>
      <c r="DZ59" s="1"/>
      <c r="EA59" s="1"/>
    </row>
    <row r="60" spans="1:131" x14ac:dyDescent="0.3">
      <c r="A60">
        <v>5017307</v>
      </c>
      <c r="B60" s="1" t="s">
        <v>65</v>
      </c>
      <c r="C60" s="1" t="s">
        <v>24</v>
      </c>
      <c r="D60" s="1">
        <v>2015</v>
      </c>
      <c r="E60" s="1">
        <v>12</v>
      </c>
      <c r="F60" s="10">
        <f>Table3[[#This Row],[First season 
with SF]]+Table3[[#This Row],['# Services 
provided]]</f>
        <v>14</v>
      </c>
      <c r="G60" s="26">
        <f>(Table3[[#This Row],[Total Income 
(Race + Price 
sold + Offs - maintenance cost)]]-Table3[[#This Row],[Price 
Bought]])/Table3[[#This Row],[Price 
Bought]]</f>
        <v>-2.0627741749999999</v>
      </c>
      <c r="H60" s="31">
        <f>Table3[[#This Row],[Race 
earnings]]+Table3[[#This Row],[Price 
Sold]]-Table3[[#This Row],[Maintenance cost]]+Table3[[#This Row],[Total 
profit (Income - cost)]]</f>
        <v>-212554.83499999996</v>
      </c>
      <c r="I60" s="3">
        <f>_xlfn.IFNA(VLOOKUP(Table3[[#This Row],[damId]],Sheet1!$A$2:$M$970,5, FALSE), VLOOKUP(Table3[[#This Row],[dam]],Sheet1!$B$2:$M$970,4, FALSE))</f>
        <v>0</v>
      </c>
      <c r="J60" s="3">
        <f>_xlfn.IFNA(VLOOKUP(Table3[[#This Row],[damId]],Sheet1!$A$2:$M$970,13, FALSE), VLOOKUP(Table3[[#This Row],[dam]],Sheet1!$B$2:$M$970,13, FALSE))</f>
        <v>-200000</v>
      </c>
      <c r="K60" s="3">
        <f>_xlfn.IFNA(VLOOKUP(Table3[[#This Row],[damId]],Sheet1!$A$2:$M$970,11, FALSE), VLOOKUP(Table3[[#This Row],[dam]],Sheet1!$B$2:$M$970,11, FALSE))</f>
        <v>200000</v>
      </c>
      <c r="L60" s="3">
        <f>_xlfn.IFNA(VLOOKUP(Table3[[#This Row],[damId]],Sheet1!$A$2:$M$970,12, FALSE), VLOOKUP(Table3[[#This Row],[dam]],Sheet1!$B$2:$M$970,12, FALSE))</f>
        <v>0</v>
      </c>
      <c r="M60" s="3">
        <f>_xlfn.IFNA(VLOOKUP(Table3[[#This Row],[damId]],Sheet1!$A$2:$T$970,20, FALSE), VLOOKUP(Table3[[#This Row],[dam]],Sheet1!$B$2:$T$970,20, FALSE))*Sheet1!$AD$3</f>
        <v>165452.09999999998</v>
      </c>
      <c r="N60" s="3">
        <f>Table3[[#This Row],[Total 
income (Earnings + value - stud fee)]]-Table3[[#This Row],[Maintenance cost ]]</f>
        <v>-47102.735000000001</v>
      </c>
      <c r="O60" s="3">
        <f>SUM(Table3[[#This Row],[income1]:[income12]])</f>
        <v>-9500</v>
      </c>
      <c r="P60" s="3">
        <f>_xlfn.IFNA(VLOOKUP(Table3[[#This Row],[damId]],Sheet1!$A$2:$Y$970,23, FALSE), VLOOKUP(Table3[[#This Row],[dam]],Sheet1!$B$2:$Y$970,23, FALSE))*Sheet1!$AD$3</f>
        <v>37602.735000000001</v>
      </c>
      <c r="Q60" s="3">
        <f>SUM(Table3[[#This Row],[earningsInRaces1]:[earningsInRaces12]])</f>
        <v>0</v>
      </c>
      <c r="R60" s="3">
        <f>SUM(Table3[[#This Row],[auctionPrice1]:[auctionPrice12]])</f>
        <v>5500</v>
      </c>
      <c r="S60" s="3">
        <f>SUM(Table3[[#This Row],[studFeeUSD1]:[studFeeUSD12]])</f>
        <v>-15000</v>
      </c>
      <c r="T60" s="7">
        <f>COUNT(Table3[[#This Row],[successfulService1]:[successfulService12]])</f>
        <v>2</v>
      </c>
      <c r="U60" s="7">
        <f>SUM(Table3[[#This Row],[successfulService1]:[successfulService12]])</f>
        <v>1</v>
      </c>
      <c r="V60" s="7">
        <f>SUM(Table3[[#This Row],[soldInAuction1]:[soldInAuction12]])</f>
        <v>1</v>
      </c>
      <c r="W60" s="7">
        <f>SUM(Table3[[#This Row],[foreignHorse1]:[foreignHorse12]])</f>
        <v>0</v>
      </c>
      <c r="X60" s="3">
        <v>5500</v>
      </c>
      <c r="Y60" s="3">
        <v>-15000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>
        <v>0</v>
      </c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>
        <v>5500</v>
      </c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>
        <v>0</v>
      </c>
      <c r="BI60" s="3">
        <v>-15000</v>
      </c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1">
        <v>0</v>
      </c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>
        <v>1</v>
      </c>
      <c r="CG60" s="1">
        <v>0</v>
      </c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>
        <v>1</v>
      </c>
      <c r="CS60" s="1">
        <v>0</v>
      </c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0</v>
      </c>
      <c r="DE60" s="1">
        <v>0</v>
      </c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>
        <v>12</v>
      </c>
      <c r="DQ60" s="1">
        <v>13</v>
      </c>
      <c r="DR60" s="1"/>
      <c r="DS60" s="1"/>
      <c r="DT60" s="1"/>
      <c r="DU60" s="1"/>
      <c r="DV60" s="1"/>
      <c r="DW60" s="1"/>
      <c r="DX60" s="1"/>
      <c r="DY60" s="1"/>
      <c r="DZ60" s="1"/>
      <c r="EA60" s="1"/>
    </row>
    <row r="61" spans="1:131" x14ac:dyDescent="0.3">
      <c r="A61">
        <v>5326184</v>
      </c>
      <c r="B61" s="1" t="s">
        <v>73</v>
      </c>
      <c r="C61" s="1" t="s">
        <v>24</v>
      </c>
      <c r="D61" s="1">
        <v>2015</v>
      </c>
      <c r="E61" s="1">
        <v>8</v>
      </c>
      <c r="F61" s="10">
        <f>Table3[[#This Row],[First season 
with SF]]+Table3[[#This Row],['# Services 
provided]]</f>
        <v>15</v>
      </c>
      <c r="G61" s="26">
        <f>(Table3[[#This Row],[Total Income 
(Race + Price 
sold + Offs - maintenance cost)]]-Table3[[#This Row],[Price 
Bought]])/Table3[[#This Row],[Price 
Bought]]</f>
        <v>-1.7795963157894736</v>
      </c>
      <c r="H61" s="31">
        <f>Table3[[#This Row],[Race 
earnings]]+Table3[[#This Row],[Price 
Sold]]-Table3[[#This Row],[Maintenance cost]]+Table3[[#This Row],[Total 
profit (Income - cost)]]</f>
        <v>-148123.29999999999</v>
      </c>
      <c r="I61" s="3">
        <f>_xlfn.IFNA(VLOOKUP(Table3[[#This Row],[damId]],Sheet1!$A$2:$M$970,5, FALSE), VLOOKUP(Table3[[#This Row],[dam]],Sheet1!$B$2:$M$970,4, FALSE))</f>
        <v>0</v>
      </c>
      <c r="J61" s="3">
        <f>_xlfn.IFNA(VLOOKUP(Table3[[#This Row],[damId]],Sheet1!$A$2:$M$970,13, FALSE), VLOOKUP(Table3[[#This Row],[dam]],Sheet1!$B$2:$M$970,13, FALSE))</f>
        <v>-190000</v>
      </c>
      <c r="K61" s="3">
        <f>_xlfn.IFNA(VLOOKUP(Table3[[#This Row],[damId]],Sheet1!$A$2:$M$970,11, FALSE), VLOOKUP(Table3[[#This Row],[dam]],Sheet1!$B$2:$M$970,11, FALSE))</f>
        <v>190000</v>
      </c>
      <c r="L61" s="3">
        <f>_xlfn.IFNA(VLOOKUP(Table3[[#This Row],[damId]],Sheet1!$A$2:$M$970,12, FALSE), VLOOKUP(Table3[[#This Row],[dam]],Sheet1!$B$2:$M$970,12, FALSE))</f>
        <v>0</v>
      </c>
      <c r="M61" s="3">
        <f>_xlfn.IFNA(VLOOKUP(Table3[[#This Row],[damId]],Sheet1!$A$2:$T$970,20, FALSE), VLOOKUP(Table3[[#This Row],[dam]],Sheet1!$B$2:$T$970,20, FALSE))*Sheet1!$AD$3</f>
        <v>154191.75</v>
      </c>
      <c r="N61" s="3">
        <f>Table3[[#This Row],[Total 
income (Earnings + value - stud fee)]]-Table3[[#This Row],[Maintenance cost ]]</f>
        <v>6068.4500000000116</v>
      </c>
      <c r="O61" s="3">
        <f>SUM(Table3[[#This Row],[income1]:[income12]])</f>
        <v>185000</v>
      </c>
      <c r="P61" s="3">
        <f>_xlfn.IFNA(VLOOKUP(Table3[[#This Row],[damId]],Sheet1!$A$2:$Y$970,23, FALSE), VLOOKUP(Table3[[#This Row],[dam]],Sheet1!$B$2:$Y$970,23, FALSE))*Sheet1!$AD$3</f>
        <v>178931.55</v>
      </c>
      <c r="Q61" s="3">
        <f>SUM(Table3[[#This Row],[earningsInRaces1]:[earningsInRaces12]])</f>
        <v>0</v>
      </c>
      <c r="R61" s="3">
        <f>SUM(Table3[[#This Row],[auctionPrice1]:[auctionPrice12]])</f>
        <v>355000</v>
      </c>
      <c r="S61" s="3">
        <f>SUM(Table3[[#This Row],[studFeeUSD1]:[studFeeUSD12]])</f>
        <v>-170000</v>
      </c>
      <c r="T61" s="7">
        <f>COUNT(Table3[[#This Row],[successfulService1]:[successfulService12]])</f>
        <v>7</v>
      </c>
      <c r="U61" s="7">
        <f>SUM(Table3[[#This Row],[successfulService1]:[successfulService12]])</f>
        <v>3</v>
      </c>
      <c r="V61" s="7">
        <f>SUM(Table3[[#This Row],[soldInAuction1]:[soldInAuction12]])</f>
        <v>2</v>
      </c>
      <c r="W61" s="7">
        <f>SUM(Table3[[#This Row],[foreignHorse1]:[foreignHorse12]])</f>
        <v>0</v>
      </c>
      <c r="X61" s="3">
        <v>0</v>
      </c>
      <c r="Y61" s="3">
        <v>-15000</v>
      </c>
      <c r="Z61" s="3">
        <v>185000</v>
      </c>
      <c r="AA61" s="3">
        <v>55000</v>
      </c>
      <c r="AB61" s="3">
        <v>0</v>
      </c>
      <c r="AC61" s="3">
        <v>-25000</v>
      </c>
      <c r="AD61" s="3">
        <v>-15000</v>
      </c>
      <c r="AE61" s="3"/>
      <c r="AF61" s="3"/>
      <c r="AG61" s="3"/>
      <c r="AH61" s="3"/>
      <c r="AI61" s="3"/>
      <c r="AJ61" s="3">
        <v>0</v>
      </c>
      <c r="AK61" s="3"/>
      <c r="AL61" s="3">
        <v>0</v>
      </c>
      <c r="AM61" s="3">
        <v>0</v>
      </c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>
        <v>200000</v>
      </c>
      <c r="AY61" s="3">
        <v>155000</v>
      </c>
      <c r="AZ61" s="3"/>
      <c r="BA61" s="3"/>
      <c r="BB61" s="3"/>
      <c r="BC61" s="3"/>
      <c r="BD61" s="3"/>
      <c r="BE61" s="3"/>
      <c r="BF61" s="3"/>
      <c r="BG61" s="3"/>
      <c r="BH61" s="3">
        <v>0</v>
      </c>
      <c r="BI61" s="3">
        <v>-15000</v>
      </c>
      <c r="BJ61" s="3">
        <v>-15000</v>
      </c>
      <c r="BK61" s="3">
        <v>-100000</v>
      </c>
      <c r="BL61" s="3"/>
      <c r="BM61" s="3">
        <v>-25000</v>
      </c>
      <c r="BN61" s="3">
        <v>-15000</v>
      </c>
      <c r="BO61" s="3"/>
      <c r="BP61" s="3"/>
      <c r="BQ61" s="3"/>
      <c r="BR61" s="3"/>
      <c r="BS61" s="3"/>
      <c r="BT61" s="1">
        <v>0</v>
      </c>
      <c r="BU61" s="1"/>
      <c r="BV61" s="1">
        <v>0</v>
      </c>
      <c r="BW61" s="1">
        <v>0</v>
      </c>
      <c r="BX61" s="1"/>
      <c r="BY61" s="1"/>
      <c r="BZ61" s="1"/>
      <c r="CA61" s="1"/>
      <c r="CB61" s="1"/>
      <c r="CC61" s="1"/>
      <c r="CD61" s="1"/>
      <c r="CE61" s="1"/>
      <c r="CF61" s="1">
        <v>1</v>
      </c>
      <c r="CG61" s="1">
        <v>0</v>
      </c>
      <c r="CH61" s="1">
        <v>1</v>
      </c>
      <c r="CI61" s="1">
        <v>1</v>
      </c>
      <c r="CJ61" s="1">
        <v>0</v>
      </c>
      <c r="CK61" s="1">
        <v>0</v>
      </c>
      <c r="CL61" s="1">
        <v>0</v>
      </c>
      <c r="CM61" s="1"/>
      <c r="CN61" s="1"/>
      <c r="CO61" s="1"/>
      <c r="CP61" s="1"/>
      <c r="CQ61" s="1"/>
      <c r="CR61" s="1">
        <v>0</v>
      </c>
      <c r="CS61" s="1">
        <v>0</v>
      </c>
      <c r="CT61" s="1">
        <v>1</v>
      </c>
      <c r="CU61" s="1">
        <v>1</v>
      </c>
      <c r="CV61" s="1">
        <v>0</v>
      </c>
      <c r="CW61" s="1">
        <v>0</v>
      </c>
      <c r="CX61" s="1">
        <v>0</v>
      </c>
      <c r="CY61" s="1"/>
      <c r="CZ61" s="1"/>
      <c r="DA61" s="1"/>
      <c r="DB61" s="1"/>
      <c r="DC61" s="1"/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/>
      <c r="DL61" s="1"/>
      <c r="DM61" s="1"/>
      <c r="DN61" s="1"/>
      <c r="DO61" s="1"/>
      <c r="DP61" s="1">
        <v>8</v>
      </c>
      <c r="DQ61" s="1">
        <v>9</v>
      </c>
      <c r="DR61" s="1">
        <v>10</v>
      </c>
      <c r="DS61" s="1">
        <v>11</v>
      </c>
      <c r="DT61" s="1">
        <v>12</v>
      </c>
      <c r="DU61" s="1">
        <v>13</v>
      </c>
      <c r="DV61" s="1">
        <v>13</v>
      </c>
      <c r="DW61" s="1"/>
      <c r="DX61" s="1"/>
      <c r="DY61" s="1"/>
      <c r="DZ61" s="1"/>
      <c r="EA61" s="1"/>
    </row>
    <row r="62" spans="1:131" x14ac:dyDescent="0.3">
      <c r="A62">
        <v>6045403</v>
      </c>
      <c r="B62" s="1" t="s">
        <v>83</v>
      </c>
      <c r="C62" s="1" t="s">
        <v>24</v>
      </c>
      <c r="D62" s="1">
        <v>2015</v>
      </c>
      <c r="E62" s="1">
        <v>11</v>
      </c>
      <c r="F62" s="10">
        <f>Table3[[#This Row],[First season 
with SF]]+Table3[[#This Row],['# Services 
provided]]</f>
        <v>17</v>
      </c>
      <c r="G62" s="26">
        <f>(Table3[[#This Row],[Total Income 
(Race + Price 
sold + Offs - maintenance cost)]]-Table3[[#This Row],[Price 
Bought]])/Table3[[#This Row],[Price 
Bought]]</f>
        <v>-4.60042945</v>
      </c>
      <c r="H62" s="31">
        <f>Table3[[#This Row],[Race 
earnings]]+Table3[[#This Row],[Price 
Sold]]-Table3[[#This Row],[Maintenance cost]]+Table3[[#This Row],[Total 
profit (Income - cost)]]</f>
        <v>-360042.94500000001</v>
      </c>
      <c r="I62" s="3">
        <f>_xlfn.IFNA(VLOOKUP(Table3[[#This Row],[damId]],Sheet1!$A$2:$M$970,5, FALSE), VLOOKUP(Table3[[#This Row],[dam]],Sheet1!$B$2:$M$970,4, FALSE))</f>
        <v>0</v>
      </c>
      <c r="J62" s="3">
        <f>_xlfn.IFNA(VLOOKUP(Table3[[#This Row],[damId]],Sheet1!$A$2:$M$970,13, FALSE), VLOOKUP(Table3[[#This Row],[dam]],Sheet1!$B$2:$M$970,13, FALSE))</f>
        <v>-100000</v>
      </c>
      <c r="K62" s="3">
        <f>_xlfn.IFNA(VLOOKUP(Table3[[#This Row],[damId]],Sheet1!$A$2:$M$970,11, FALSE), VLOOKUP(Table3[[#This Row],[dam]],Sheet1!$B$2:$M$970,11, FALSE))</f>
        <v>100000</v>
      </c>
      <c r="L62" s="3">
        <f>_xlfn.IFNA(VLOOKUP(Table3[[#This Row],[damId]],Sheet1!$A$2:$M$970,12, FALSE), VLOOKUP(Table3[[#This Row],[dam]],Sheet1!$B$2:$M$970,12, FALSE))</f>
        <v>0</v>
      </c>
      <c r="M62" s="3">
        <f>_xlfn.IFNA(VLOOKUP(Table3[[#This Row],[damId]],Sheet1!$A$2:$T$970,20, FALSE), VLOOKUP(Table3[[#This Row],[dam]],Sheet1!$B$2:$T$970,20, FALSE))*Sheet1!$AD$3</f>
        <v>154438.35</v>
      </c>
      <c r="N62" s="3">
        <f>Table3[[#This Row],[Total 
income (Earnings + value - stud fee)]]-Table3[[#This Row],[Maintenance cost ]]</f>
        <v>-205604.595</v>
      </c>
      <c r="O62" s="3">
        <f>SUM(Table3[[#This Row],[income1]:[income12]])</f>
        <v>-177495</v>
      </c>
      <c r="P62" s="3">
        <f>_xlfn.IFNA(VLOOKUP(Table3[[#This Row],[damId]],Sheet1!$A$2:$Y$970,23, FALSE), VLOOKUP(Table3[[#This Row],[dam]],Sheet1!$B$2:$Y$970,23, FALSE))*Sheet1!$AD$3</f>
        <v>28109.595000000001</v>
      </c>
      <c r="Q62" s="3">
        <f>SUM(Table3[[#This Row],[earningsInRaces1]:[earningsInRaces12]])</f>
        <v>0</v>
      </c>
      <c r="R62" s="3">
        <f>SUM(Table3[[#This Row],[auctionPrice1]:[auctionPrice12]])</f>
        <v>212505</v>
      </c>
      <c r="S62" s="3">
        <f>SUM(Table3[[#This Row],[studFeeUSD1]:[studFeeUSD12]])</f>
        <v>-390000</v>
      </c>
      <c r="T62" s="7">
        <f>COUNT(Table3[[#This Row],[successfulService1]:[successfulService12]])</f>
        <v>6</v>
      </c>
      <c r="U62" s="7">
        <f>SUM(Table3[[#This Row],[successfulService1]:[successfulService12]])</f>
        <v>4</v>
      </c>
      <c r="V62" s="7">
        <f>SUM(Table3[[#This Row],[soldInAuction1]:[soldInAuction12]])</f>
        <v>4</v>
      </c>
      <c r="W62" s="7">
        <f>SUM(Table3[[#This Row],[foreignHorse1]:[foreignHorse12]])</f>
        <v>2</v>
      </c>
      <c r="X62" s="3">
        <v>35000</v>
      </c>
      <c r="Y62" s="3">
        <v>105000</v>
      </c>
      <c r="Z62" s="3">
        <v>-253102</v>
      </c>
      <c r="AA62" s="3">
        <v>0</v>
      </c>
      <c r="AB62" s="3">
        <v>-75000</v>
      </c>
      <c r="AC62" s="3">
        <v>10607</v>
      </c>
      <c r="AD62" s="3"/>
      <c r="AE62" s="3"/>
      <c r="AF62" s="3"/>
      <c r="AG62" s="3"/>
      <c r="AH62" s="3"/>
      <c r="AI62" s="3"/>
      <c r="AJ62" s="3">
        <v>0</v>
      </c>
      <c r="AK62" s="3">
        <v>0</v>
      </c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>
        <v>35000</v>
      </c>
      <c r="AW62" s="3">
        <v>120000</v>
      </c>
      <c r="AX62" s="3">
        <v>46898</v>
      </c>
      <c r="AY62" s="3"/>
      <c r="AZ62" s="3"/>
      <c r="BA62" s="3">
        <v>10607</v>
      </c>
      <c r="BB62" s="3"/>
      <c r="BC62" s="3"/>
      <c r="BD62" s="3"/>
      <c r="BE62" s="3"/>
      <c r="BF62" s="3"/>
      <c r="BG62" s="3"/>
      <c r="BH62" s="3">
        <v>0</v>
      </c>
      <c r="BI62" s="3">
        <v>-15000</v>
      </c>
      <c r="BJ62" s="3">
        <v>-300000</v>
      </c>
      <c r="BK62" s="3"/>
      <c r="BL62" s="3">
        <v>-75000</v>
      </c>
      <c r="BM62" s="3"/>
      <c r="BN62" s="3"/>
      <c r="BO62" s="3"/>
      <c r="BP62" s="3"/>
      <c r="BQ62" s="3"/>
      <c r="BR62" s="3"/>
      <c r="BS62" s="3"/>
      <c r="BT62" s="1">
        <v>0</v>
      </c>
      <c r="BU62" s="1">
        <v>0</v>
      </c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>
        <v>1</v>
      </c>
      <c r="CG62" s="1">
        <v>1</v>
      </c>
      <c r="CH62" s="1">
        <v>1</v>
      </c>
      <c r="CI62" s="1">
        <v>0</v>
      </c>
      <c r="CJ62" s="1">
        <v>0</v>
      </c>
      <c r="CK62" s="1">
        <v>1</v>
      </c>
      <c r="CL62" s="1"/>
      <c r="CM62" s="1"/>
      <c r="CN62" s="1"/>
      <c r="CO62" s="1"/>
      <c r="CP62" s="1"/>
      <c r="CQ62" s="1"/>
      <c r="CR62" s="1">
        <v>1</v>
      </c>
      <c r="CS62" s="1">
        <v>1</v>
      </c>
      <c r="CT62" s="1">
        <v>1</v>
      </c>
      <c r="CU62" s="1">
        <v>0</v>
      </c>
      <c r="CV62" s="1">
        <v>0</v>
      </c>
      <c r="CW62" s="1">
        <v>1</v>
      </c>
      <c r="CX62" s="1"/>
      <c r="CY62" s="1"/>
      <c r="CZ62" s="1"/>
      <c r="DA62" s="1"/>
      <c r="DB62" s="1"/>
      <c r="DC62" s="1"/>
      <c r="DD62" s="1">
        <v>0</v>
      </c>
      <c r="DE62" s="1">
        <v>0</v>
      </c>
      <c r="DF62" s="1">
        <v>1</v>
      </c>
      <c r="DG62" s="1">
        <v>0</v>
      </c>
      <c r="DH62" s="1">
        <v>0</v>
      </c>
      <c r="DI62" s="1">
        <v>1</v>
      </c>
      <c r="DJ62" s="1"/>
      <c r="DK62" s="1"/>
      <c r="DL62" s="1"/>
      <c r="DM62" s="1"/>
      <c r="DN62" s="1"/>
      <c r="DO62" s="1"/>
      <c r="DP62" s="1">
        <v>11</v>
      </c>
      <c r="DQ62" s="1">
        <v>12</v>
      </c>
      <c r="DR62" s="1">
        <v>13</v>
      </c>
      <c r="DS62" s="1">
        <v>14</v>
      </c>
      <c r="DT62" s="1">
        <v>15</v>
      </c>
      <c r="DU62" s="1">
        <v>16</v>
      </c>
      <c r="DV62" s="1"/>
      <c r="DW62" s="1"/>
      <c r="DX62" s="1"/>
      <c r="DY62" s="1"/>
      <c r="DZ62" s="1"/>
      <c r="EA62" s="1"/>
    </row>
    <row r="63" spans="1:131" x14ac:dyDescent="0.3">
      <c r="A63">
        <v>6587169</v>
      </c>
      <c r="B63" s="1" t="s">
        <v>107</v>
      </c>
      <c r="C63" s="1" t="s">
        <v>24</v>
      </c>
      <c r="D63" s="1">
        <v>2015</v>
      </c>
      <c r="E63" s="1">
        <v>9</v>
      </c>
      <c r="F63" s="10">
        <f>Table3[[#This Row],[First season 
with SF]]+Table3[[#This Row],['# Services 
provided]]</f>
        <v>13</v>
      </c>
      <c r="G63" s="26">
        <f>(Table3[[#This Row],[Total Income 
(Race + Price 
sold + Offs - maintenance cost)]]-Table3[[#This Row],[Price 
Bought]])/Table3[[#This Row],[Price 
Bought]]</f>
        <v>8.6506874999999997E-2</v>
      </c>
      <c r="H63" s="31">
        <f>Table3[[#This Row],[Race 
earnings]]+Table3[[#This Row],[Price 
Sold]]-Table3[[#This Row],[Maintenance cost]]+Table3[[#This Row],[Total 
profit (Income - cost)]]</f>
        <v>434602.75</v>
      </c>
      <c r="I63" s="3">
        <f>_xlfn.IFNA(VLOOKUP(Table3[[#This Row],[damId]],Sheet1!$A$2:$M$970,5, FALSE), VLOOKUP(Table3[[#This Row],[dam]],Sheet1!$B$2:$M$970,4, FALSE))</f>
        <v>0</v>
      </c>
      <c r="J63" s="3">
        <f>_xlfn.IFNA(VLOOKUP(Table3[[#This Row],[damId]],Sheet1!$A$2:$M$970,13, FALSE), VLOOKUP(Table3[[#This Row],[dam]],Sheet1!$B$2:$M$970,13, FALSE))</f>
        <v>-400000</v>
      </c>
      <c r="K63" s="3">
        <f>_xlfn.IFNA(VLOOKUP(Table3[[#This Row],[damId]],Sheet1!$A$2:$M$970,11, FALSE), VLOOKUP(Table3[[#This Row],[dam]],Sheet1!$B$2:$M$970,11, FALSE))</f>
        <v>400000</v>
      </c>
      <c r="L63" s="3">
        <f>_xlfn.IFNA(VLOOKUP(Table3[[#This Row],[damId]],Sheet1!$A$2:$M$970,12, FALSE), VLOOKUP(Table3[[#This Row],[dam]],Sheet1!$B$2:$M$970,12, FALSE))</f>
        <v>0</v>
      </c>
      <c r="M63" s="3">
        <f>_xlfn.IFNA(VLOOKUP(Table3[[#This Row],[damId]],Sheet1!$A$2:$T$970,20, FALSE), VLOOKUP(Table3[[#This Row],[dam]],Sheet1!$B$2:$T$970,20, FALSE))*Sheet1!$AD$3</f>
        <v>154397.25</v>
      </c>
      <c r="N63" s="3">
        <f>Table3[[#This Row],[Total 
income (Earnings + value - stud fee)]]-Table3[[#This Row],[Maintenance cost ]]</f>
        <v>589000</v>
      </c>
      <c r="O63" s="3">
        <f>SUM(Table3[[#This Row],[income1]:[income12]])</f>
        <v>610000</v>
      </c>
      <c r="P63" s="3">
        <f>_xlfn.IFNA(VLOOKUP(Table3[[#This Row],[damId]],Sheet1!$A$2:$Y$970,23, FALSE), VLOOKUP(Table3[[#This Row],[dam]],Sheet1!$B$2:$Y$970,23, FALSE))*Sheet1!$AD$3</f>
        <v>21000</v>
      </c>
      <c r="Q63" s="3">
        <f>SUM(Table3[[#This Row],[earningsInRaces1]:[earningsInRaces12]])</f>
        <v>0</v>
      </c>
      <c r="R63" s="3">
        <f>SUM(Table3[[#This Row],[auctionPrice1]:[auctionPrice12]])</f>
        <v>690000</v>
      </c>
      <c r="S63" s="3">
        <f>SUM(Table3[[#This Row],[studFeeUSD1]:[studFeeUSD12]])</f>
        <v>-80000</v>
      </c>
      <c r="T63" s="7">
        <f>COUNT(Table3[[#This Row],[successfulService1]:[successfulService12]])</f>
        <v>4</v>
      </c>
      <c r="U63" s="7">
        <f>SUM(Table3[[#This Row],[successfulService1]:[successfulService12]])</f>
        <v>3</v>
      </c>
      <c r="V63" s="7">
        <f>SUM(Table3[[#This Row],[soldInAuction1]:[soldInAuction12]])</f>
        <v>3</v>
      </c>
      <c r="W63" s="7">
        <f>SUM(Table3[[#This Row],[foreignHorse1]:[foreignHorse12]])</f>
        <v>0</v>
      </c>
      <c r="X63" s="3">
        <v>390000</v>
      </c>
      <c r="Y63" s="3">
        <v>125000</v>
      </c>
      <c r="Z63" s="3">
        <v>-25000</v>
      </c>
      <c r="AA63" s="3">
        <v>120000</v>
      </c>
      <c r="AB63" s="3"/>
      <c r="AC63" s="3"/>
      <c r="AD63" s="3"/>
      <c r="AE63" s="3"/>
      <c r="AF63" s="3"/>
      <c r="AG63" s="3"/>
      <c r="AH63" s="3"/>
      <c r="AI63" s="3"/>
      <c r="AJ63" s="3">
        <v>0</v>
      </c>
      <c r="AK63" s="3">
        <v>0</v>
      </c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>
        <v>390000</v>
      </c>
      <c r="AW63" s="3">
        <v>150000</v>
      </c>
      <c r="AX63" s="3"/>
      <c r="AY63" s="3">
        <v>150000</v>
      </c>
      <c r="AZ63" s="3"/>
      <c r="BA63" s="3"/>
      <c r="BB63" s="3"/>
      <c r="BC63" s="3"/>
      <c r="BD63" s="3"/>
      <c r="BE63" s="3"/>
      <c r="BF63" s="3"/>
      <c r="BG63" s="3"/>
      <c r="BH63" s="3">
        <v>0</v>
      </c>
      <c r="BI63" s="3">
        <v>-25000</v>
      </c>
      <c r="BJ63" s="3">
        <v>-25000</v>
      </c>
      <c r="BK63" s="3">
        <v>-30000</v>
      </c>
      <c r="BL63" s="3"/>
      <c r="BM63" s="3"/>
      <c r="BN63" s="3"/>
      <c r="BO63" s="3"/>
      <c r="BP63" s="3"/>
      <c r="BQ63" s="3"/>
      <c r="BR63" s="3"/>
      <c r="BS63" s="3"/>
      <c r="BT63" s="1">
        <v>0</v>
      </c>
      <c r="BU63" s="1">
        <v>0</v>
      </c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>
        <v>1</v>
      </c>
      <c r="CG63" s="1">
        <v>1</v>
      </c>
      <c r="CH63" s="1">
        <v>0</v>
      </c>
      <c r="CI63" s="1">
        <v>1</v>
      </c>
      <c r="CJ63" s="1"/>
      <c r="CK63" s="1"/>
      <c r="CL63" s="1"/>
      <c r="CM63" s="1"/>
      <c r="CN63" s="1"/>
      <c r="CO63" s="1"/>
      <c r="CP63" s="1"/>
      <c r="CQ63" s="1"/>
      <c r="CR63" s="1">
        <v>1</v>
      </c>
      <c r="CS63" s="1">
        <v>1</v>
      </c>
      <c r="CT63" s="1">
        <v>0</v>
      </c>
      <c r="CU63" s="1">
        <v>1</v>
      </c>
      <c r="CV63" s="1"/>
      <c r="CW63" s="1"/>
      <c r="CX63" s="1"/>
      <c r="CY63" s="1"/>
      <c r="CZ63" s="1"/>
      <c r="DA63" s="1"/>
      <c r="DB63" s="1"/>
      <c r="DC63" s="1"/>
      <c r="DD63" s="1">
        <v>0</v>
      </c>
      <c r="DE63" s="1">
        <v>0</v>
      </c>
      <c r="DF63" s="1">
        <v>0</v>
      </c>
      <c r="DG63" s="1">
        <v>0</v>
      </c>
      <c r="DH63" s="1"/>
      <c r="DI63" s="1"/>
      <c r="DJ63" s="1"/>
      <c r="DK63" s="1"/>
      <c r="DL63" s="1"/>
      <c r="DM63" s="1"/>
      <c r="DN63" s="1"/>
      <c r="DO63" s="1"/>
      <c r="DP63" s="1">
        <v>9</v>
      </c>
      <c r="DQ63" s="1">
        <v>10</v>
      </c>
      <c r="DR63" s="1">
        <v>11</v>
      </c>
      <c r="DS63" s="1">
        <v>12</v>
      </c>
      <c r="DT63" s="1"/>
      <c r="DU63" s="1"/>
      <c r="DV63" s="1"/>
      <c r="DW63" s="1"/>
      <c r="DX63" s="1"/>
      <c r="DY63" s="1"/>
      <c r="DZ63" s="1"/>
      <c r="EA63" s="1"/>
    </row>
    <row r="64" spans="1:131" x14ac:dyDescent="0.3">
      <c r="A64">
        <v>7695106</v>
      </c>
      <c r="B64" s="1" t="s">
        <v>189</v>
      </c>
      <c r="C64" s="1" t="s">
        <v>24</v>
      </c>
      <c r="D64" s="1">
        <v>2015</v>
      </c>
      <c r="E64" s="1">
        <v>2</v>
      </c>
      <c r="F64" s="10">
        <f>Table3[[#This Row],[First season 
with SF]]+Table3[[#This Row],['# Services 
provided]]</f>
        <v>3</v>
      </c>
      <c r="G64" s="26">
        <f>(Table3[[#This Row],[Total Income 
(Race + Price 
sold + Offs - maintenance cost)]]-Table3[[#This Row],[Price 
Bought]])/Table3[[#This Row],[Price 
Bought]]</f>
        <v>0.63712177272727288</v>
      </c>
      <c r="H64" s="31">
        <f>Table3[[#This Row],[Race 
earnings]]+Table3[[#This Row],[Price 
Sold]]-Table3[[#This Row],[Maintenance cost]]+Table3[[#This Row],[Total 
profit (Income - cost)]]</f>
        <v>180083.39500000002</v>
      </c>
      <c r="I64" s="3">
        <f>_xlfn.IFNA(VLOOKUP(Table3[[#This Row],[damId]],Sheet1!$A$2:$M$970,5, FALSE), VLOOKUP(Table3[[#This Row],[dam]],Sheet1!$B$2:$M$970,4, FALSE))</f>
        <v>0</v>
      </c>
      <c r="J64" s="3">
        <f>_xlfn.IFNA(VLOOKUP(Table3[[#This Row],[damId]],Sheet1!$A$2:$M$970,13, FALSE), VLOOKUP(Table3[[#This Row],[dam]],Sheet1!$B$2:$M$970,13, FALSE))</f>
        <v>44560</v>
      </c>
      <c r="K64" s="3">
        <f>_xlfn.IFNA(VLOOKUP(Table3[[#This Row],[damId]],Sheet1!$A$2:$M$970,11, FALSE), VLOOKUP(Table3[[#This Row],[dam]],Sheet1!$B$2:$M$970,11, FALSE))</f>
        <v>110000</v>
      </c>
      <c r="L64" s="3">
        <f>_xlfn.IFNA(VLOOKUP(Table3[[#This Row],[damId]],Sheet1!$A$2:$M$970,12, FALSE), VLOOKUP(Table3[[#This Row],[dam]],Sheet1!$B$2:$M$970,12, FALSE))</f>
        <v>154560</v>
      </c>
      <c r="M64" s="3">
        <f>_xlfn.IFNA(VLOOKUP(Table3[[#This Row],[damId]],Sheet1!$A$2:$T$970,20, FALSE), VLOOKUP(Table3[[#This Row],[dam]],Sheet1!$B$2:$T$970,20, FALSE))*Sheet1!$AD$3</f>
        <v>20876.715</v>
      </c>
      <c r="N64" s="3">
        <f>Table3[[#This Row],[Total 
income (Earnings + value - stud fee)]]-Table3[[#This Row],[Maintenance cost ]]</f>
        <v>46400.11</v>
      </c>
      <c r="O64" s="3">
        <f>SUM(Table3[[#This Row],[income1]:[income12]])</f>
        <v>57496</v>
      </c>
      <c r="P64" s="3">
        <f>_xlfn.IFNA(VLOOKUP(Table3[[#This Row],[damId]],Sheet1!$A$2:$Y$970,23, FALSE), VLOOKUP(Table3[[#This Row],[dam]],Sheet1!$B$2:$Y$970,23, FALSE))*Sheet1!$AD$3</f>
        <v>11095.89</v>
      </c>
      <c r="Q64" s="3">
        <f>SUM(Table3[[#This Row],[earningsInRaces1]:[earningsInRaces12]])</f>
        <v>0</v>
      </c>
      <c r="R64" s="3">
        <f>SUM(Table3[[#This Row],[auctionPrice1]:[auctionPrice12]])</f>
        <v>57496</v>
      </c>
      <c r="S64" s="3">
        <f>SUM(Table3[[#This Row],[studFeeUSD1]:[studFeeUSD12]])</f>
        <v>0</v>
      </c>
      <c r="T64" s="7">
        <f>COUNT(Table3[[#This Row],[successfulService1]:[successfulService12]])</f>
        <v>1</v>
      </c>
      <c r="U64" s="7">
        <f>SUM(Table3[[#This Row],[successfulService1]:[successfulService12]])</f>
        <v>1</v>
      </c>
      <c r="V64" s="7">
        <f>SUM(Table3[[#This Row],[soldInAuction1]:[soldInAuction12]])</f>
        <v>1</v>
      </c>
      <c r="W64" s="7">
        <f>SUM(Table3[[#This Row],[foreignHorse1]:[foreignHorse12]])</f>
        <v>1</v>
      </c>
      <c r="X64" s="3">
        <v>57496</v>
      </c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>
        <v>57496</v>
      </c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>
        <v>0</v>
      </c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>
        <v>1</v>
      </c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>
        <v>1</v>
      </c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>
        <v>1</v>
      </c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>
        <v>2</v>
      </c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</row>
    <row r="65" spans="1:131" x14ac:dyDescent="0.3">
      <c r="A65">
        <v>7742433</v>
      </c>
      <c r="B65" s="1" t="s">
        <v>201</v>
      </c>
      <c r="C65" s="1" t="s">
        <v>24</v>
      </c>
      <c r="D65" s="1">
        <v>2015</v>
      </c>
      <c r="E65" s="1">
        <v>6</v>
      </c>
      <c r="F65" s="10">
        <f>Table3[[#This Row],[First season 
with SF]]+Table3[[#This Row],['# Services 
provided]]</f>
        <v>14</v>
      </c>
      <c r="G65" s="26">
        <f>(Table3[[#This Row],[Total Income 
(Race + Price 
sold + Offs - maintenance cost)]]-Table3[[#This Row],[Price 
Bought]])/Table3[[#This Row],[Price 
Bought]]</f>
        <v>-3.3042194</v>
      </c>
      <c r="H65" s="31">
        <f>Table3[[#This Row],[Race 
earnings]]+Table3[[#This Row],[Price 
Sold]]-Table3[[#This Row],[Maintenance cost]]+Table3[[#This Row],[Total 
profit (Income - cost)]]</f>
        <v>-576054.85</v>
      </c>
      <c r="I65" s="3">
        <f>_xlfn.IFNA(VLOOKUP(Table3[[#This Row],[damId]],Sheet1!$A$2:$M$970,5, FALSE), VLOOKUP(Table3[[#This Row],[dam]],Sheet1!$B$2:$M$970,4, FALSE))</f>
        <v>0</v>
      </c>
      <c r="J65" s="3">
        <f>_xlfn.IFNA(VLOOKUP(Table3[[#This Row],[damId]],Sheet1!$A$2:$M$970,13, FALSE), VLOOKUP(Table3[[#This Row],[dam]],Sheet1!$B$2:$M$970,13, FALSE))</f>
        <v>-250000</v>
      </c>
      <c r="K65" s="3">
        <f>_xlfn.IFNA(VLOOKUP(Table3[[#This Row],[damId]],Sheet1!$A$2:$M$970,11, FALSE), VLOOKUP(Table3[[#This Row],[dam]],Sheet1!$B$2:$M$970,11, FALSE))</f>
        <v>250000</v>
      </c>
      <c r="L65" s="3">
        <f>_xlfn.IFNA(VLOOKUP(Table3[[#This Row],[damId]],Sheet1!$A$2:$M$970,12, FALSE), VLOOKUP(Table3[[#This Row],[dam]],Sheet1!$B$2:$M$970,12, FALSE))</f>
        <v>0</v>
      </c>
      <c r="M65" s="3">
        <f>_xlfn.IFNA(VLOOKUP(Table3[[#This Row],[damId]],Sheet1!$A$2:$T$970,20, FALSE), VLOOKUP(Table3[[#This Row],[dam]],Sheet1!$B$2:$T$970,20, FALSE))*Sheet1!$AD$3</f>
        <v>154397.25</v>
      </c>
      <c r="N65" s="3">
        <f>Table3[[#This Row],[Total 
income (Earnings + value - stud fee)]]-Table3[[#This Row],[Maintenance cost ]]</f>
        <v>-421657.59999999998</v>
      </c>
      <c r="O65" s="3">
        <f>SUM(Table3[[#This Row],[income1]:[income12]])</f>
        <v>-220000</v>
      </c>
      <c r="P65" s="3">
        <f>_xlfn.IFNA(VLOOKUP(Table3[[#This Row],[damId]],Sheet1!$A$2:$Y$970,23, FALSE), VLOOKUP(Table3[[#This Row],[dam]],Sheet1!$B$2:$Y$970,23, FALSE))*Sheet1!$AD$3</f>
        <v>201657.60000000001</v>
      </c>
      <c r="Q65" s="3">
        <f>SUM(Table3[[#This Row],[earningsInRaces1]:[earningsInRaces12]])</f>
        <v>0</v>
      </c>
      <c r="R65" s="3">
        <f>SUM(Table3[[#This Row],[auctionPrice1]:[auctionPrice12]])</f>
        <v>325000</v>
      </c>
      <c r="S65" s="3">
        <f>SUM(Table3[[#This Row],[studFeeUSD1]:[studFeeUSD12]])</f>
        <v>-545000</v>
      </c>
      <c r="T65" s="7">
        <f>COUNT(Table3[[#This Row],[successfulService1]:[successfulService12]])</f>
        <v>8</v>
      </c>
      <c r="U65" s="7">
        <f>SUM(Table3[[#This Row],[successfulService1]:[successfulService12]])</f>
        <v>4</v>
      </c>
      <c r="V65" s="7">
        <f>SUM(Table3[[#This Row],[soldInAuction1]:[soldInAuction12]])</f>
        <v>3</v>
      </c>
      <c r="W65" s="7">
        <f>SUM(Table3[[#This Row],[foreignHorse1]:[foreignHorse12]])</f>
        <v>0</v>
      </c>
      <c r="X65" s="3">
        <v>0</v>
      </c>
      <c r="Y65" s="3">
        <v>115000</v>
      </c>
      <c r="Z65" s="3">
        <v>-75000</v>
      </c>
      <c r="AA65" s="3">
        <v>95000</v>
      </c>
      <c r="AB65" s="3">
        <v>-15000</v>
      </c>
      <c r="AC65" s="3">
        <v>-300000</v>
      </c>
      <c r="AD65" s="3">
        <v>-20000</v>
      </c>
      <c r="AE65" s="3">
        <v>-20000</v>
      </c>
      <c r="AF65" s="3"/>
      <c r="AG65" s="3"/>
      <c r="AH65" s="3"/>
      <c r="AI65" s="3"/>
      <c r="AJ65" s="3">
        <v>0</v>
      </c>
      <c r="AK65" s="3">
        <v>0</v>
      </c>
      <c r="AL65" s="3">
        <v>0</v>
      </c>
      <c r="AM65" s="3">
        <v>0</v>
      </c>
      <c r="AN65" s="3"/>
      <c r="AO65" s="3"/>
      <c r="AP65" s="3"/>
      <c r="AQ65" s="3"/>
      <c r="AR65" s="3"/>
      <c r="AS65" s="3"/>
      <c r="AT65" s="3"/>
      <c r="AU65" s="3"/>
      <c r="AV65" s="3"/>
      <c r="AW65" s="3">
        <v>150000</v>
      </c>
      <c r="AX65" s="3">
        <v>50000</v>
      </c>
      <c r="AY65" s="3">
        <v>125000</v>
      </c>
      <c r="AZ65" s="3"/>
      <c r="BA65" s="3"/>
      <c r="BB65" s="3"/>
      <c r="BC65" s="3"/>
      <c r="BD65" s="3"/>
      <c r="BE65" s="3"/>
      <c r="BF65" s="3"/>
      <c r="BG65" s="3"/>
      <c r="BH65" s="3">
        <v>0</v>
      </c>
      <c r="BI65" s="3">
        <v>-35000</v>
      </c>
      <c r="BJ65" s="3">
        <v>-125000</v>
      </c>
      <c r="BK65" s="3">
        <v>-30000</v>
      </c>
      <c r="BL65" s="3">
        <v>-15000</v>
      </c>
      <c r="BM65" s="3">
        <v>-300000</v>
      </c>
      <c r="BN65" s="3">
        <v>-20000</v>
      </c>
      <c r="BO65" s="3">
        <v>-20000</v>
      </c>
      <c r="BP65" s="3"/>
      <c r="BQ65" s="3"/>
      <c r="BR65" s="3"/>
      <c r="BS65" s="3"/>
      <c r="BT65" s="1">
        <v>0</v>
      </c>
      <c r="BU65" s="1">
        <v>0</v>
      </c>
      <c r="BV65" s="1">
        <v>0</v>
      </c>
      <c r="BW65" s="1">
        <v>0</v>
      </c>
      <c r="BX65" s="1"/>
      <c r="BY65" s="1"/>
      <c r="BZ65" s="1"/>
      <c r="CA65" s="1"/>
      <c r="CB65" s="1"/>
      <c r="CC65" s="1"/>
      <c r="CD65" s="1"/>
      <c r="CE65" s="1"/>
      <c r="CF65" s="1">
        <v>1</v>
      </c>
      <c r="CG65" s="1">
        <v>1</v>
      </c>
      <c r="CH65" s="1">
        <v>1</v>
      </c>
      <c r="CI65" s="1">
        <v>1</v>
      </c>
      <c r="CJ65" s="1">
        <v>0</v>
      </c>
      <c r="CK65" s="1">
        <v>0</v>
      </c>
      <c r="CL65" s="1">
        <v>0</v>
      </c>
      <c r="CM65" s="1">
        <v>0</v>
      </c>
      <c r="CN65" s="1"/>
      <c r="CO65" s="1"/>
      <c r="CP65" s="1"/>
      <c r="CQ65" s="1"/>
      <c r="CR65" s="1">
        <v>0</v>
      </c>
      <c r="CS65" s="1">
        <v>1</v>
      </c>
      <c r="CT65" s="1">
        <v>1</v>
      </c>
      <c r="CU65" s="1">
        <v>1</v>
      </c>
      <c r="CV65" s="1">
        <v>0</v>
      </c>
      <c r="CW65" s="1">
        <v>0</v>
      </c>
      <c r="CX65" s="1">
        <v>0</v>
      </c>
      <c r="CY65" s="1">
        <v>0</v>
      </c>
      <c r="CZ65" s="1"/>
      <c r="DA65" s="1"/>
      <c r="DB65" s="1"/>
      <c r="DC65" s="1"/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/>
      <c r="DM65" s="1"/>
      <c r="DN65" s="1"/>
      <c r="DO65" s="1"/>
      <c r="DP65" s="1">
        <v>6</v>
      </c>
      <c r="DQ65" s="1">
        <v>7</v>
      </c>
      <c r="DR65" s="1">
        <v>8</v>
      </c>
      <c r="DS65" s="1">
        <v>9</v>
      </c>
      <c r="DT65" s="1">
        <v>10</v>
      </c>
      <c r="DU65" s="1">
        <v>11</v>
      </c>
      <c r="DV65" s="1">
        <v>12</v>
      </c>
      <c r="DW65" s="1">
        <v>14</v>
      </c>
      <c r="DX65" s="1"/>
      <c r="DY65" s="1"/>
      <c r="DZ65" s="1"/>
      <c r="EA65" s="1"/>
    </row>
    <row r="66" spans="1:131" x14ac:dyDescent="0.3">
      <c r="A66">
        <v>8056970</v>
      </c>
      <c r="B66" s="1" t="s">
        <v>240</v>
      </c>
      <c r="C66" s="1" t="s">
        <v>24</v>
      </c>
      <c r="D66" s="1">
        <v>2015</v>
      </c>
      <c r="E66" s="1">
        <v>1</v>
      </c>
      <c r="F66" s="10">
        <f>Table3[[#This Row],[First season 
with SF]]+Table3[[#This Row],['# Services 
provided]]</f>
        <v>4</v>
      </c>
      <c r="G66" s="26">
        <f>(Table3[[#This Row],[Total Income 
(Race + Price 
sold + Offs - maintenance cost)]]-Table3[[#This Row],[Price 
Bought]])/Table3[[#This Row],[Price 
Bought]]</f>
        <v>-2.2408462</v>
      </c>
      <c r="H66" s="31">
        <f>Table3[[#This Row],[Race 
earnings]]+Table3[[#This Row],[Price 
Sold]]-Table3[[#This Row],[Maintenance cost]]+Table3[[#This Row],[Total 
profit (Income - cost)]]</f>
        <v>-148901.54399999999</v>
      </c>
      <c r="I66" s="3">
        <f>_xlfn.IFNA(VLOOKUP(Table3[[#This Row],[damId]],Sheet1!$A$2:$M$970,5, FALSE), VLOOKUP(Table3[[#This Row],[dam]],Sheet1!$B$2:$M$970,4, FALSE))</f>
        <v>0</v>
      </c>
      <c r="J66" s="3">
        <f>_xlfn.IFNA(VLOOKUP(Table3[[#This Row],[damId]],Sheet1!$A$2:$M$970,13, FALSE), VLOOKUP(Table3[[#This Row],[dam]],Sheet1!$B$2:$M$970,13, FALSE))</f>
        <v>-88428</v>
      </c>
      <c r="K66" s="3">
        <f>_xlfn.IFNA(VLOOKUP(Table3[[#This Row],[damId]],Sheet1!$A$2:$M$970,11, FALSE), VLOOKUP(Table3[[#This Row],[dam]],Sheet1!$B$2:$M$970,11, FALSE))</f>
        <v>120000</v>
      </c>
      <c r="L66" s="3">
        <f>_xlfn.IFNA(VLOOKUP(Table3[[#This Row],[damId]],Sheet1!$A$2:$M$970,12, FALSE), VLOOKUP(Table3[[#This Row],[dam]],Sheet1!$B$2:$M$970,12, FALSE))</f>
        <v>31572</v>
      </c>
      <c r="M66" s="3">
        <f>_xlfn.IFNA(VLOOKUP(Table3[[#This Row],[damId]],Sheet1!$A$2:$T$970,20, FALSE), VLOOKUP(Table3[[#This Row],[dam]],Sheet1!$B$2:$T$970,20, FALSE))*Sheet1!$AD$3</f>
        <v>52602.735000000001</v>
      </c>
      <c r="N66" s="3">
        <f>Table3[[#This Row],[Total 
income (Earnings + value - stud fee)]]-Table3[[#This Row],[Maintenance cost ]]</f>
        <v>-127870.80899999999</v>
      </c>
      <c r="O66" s="3">
        <f>SUM(Table3[[#This Row],[income1]:[income12]])</f>
        <v>-118953</v>
      </c>
      <c r="P66" s="3">
        <f>_xlfn.IFNA(VLOOKUP(Table3[[#This Row],[damId]],Sheet1!$A$2:$Y$970,23, FALSE), VLOOKUP(Table3[[#This Row],[dam]],Sheet1!$B$2:$Y$970,23, FALSE))*Sheet1!$AD$3</f>
        <v>8917.8089999999993</v>
      </c>
      <c r="Q66" s="3">
        <f>SUM(Table3[[#This Row],[earningsInRaces1]:[earningsInRaces12]])</f>
        <v>0</v>
      </c>
      <c r="R66" s="3">
        <f>SUM(Table3[[#This Row],[auctionPrice1]:[auctionPrice12]])</f>
        <v>181047</v>
      </c>
      <c r="S66" s="3">
        <f>SUM(Table3[[#This Row],[studFeeUSD1]:[studFeeUSD12]])</f>
        <v>-300000</v>
      </c>
      <c r="T66" s="7">
        <f>COUNT(Table3[[#This Row],[successfulService1]:[successfulService12]])</f>
        <v>3</v>
      </c>
      <c r="U66" s="7">
        <f>SUM(Table3[[#This Row],[successfulService1]:[successfulService12]])</f>
        <v>3</v>
      </c>
      <c r="V66" s="7">
        <f>SUM(Table3[[#This Row],[soldInAuction1]:[soldInAuction12]])</f>
        <v>3</v>
      </c>
      <c r="W66" s="7">
        <f>SUM(Table3[[#This Row],[foreignHorse1]:[foreignHorse12]])</f>
        <v>2</v>
      </c>
      <c r="X66" s="3">
        <v>90000</v>
      </c>
      <c r="Y66" s="3">
        <v>-228981</v>
      </c>
      <c r="Z66" s="3">
        <v>20028</v>
      </c>
      <c r="AA66" s="3"/>
      <c r="AB66" s="3"/>
      <c r="AC66" s="3"/>
      <c r="AD66" s="3"/>
      <c r="AE66" s="3"/>
      <c r="AF66" s="3"/>
      <c r="AG66" s="3"/>
      <c r="AH66" s="3"/>
      <c r="AI66" s="3"/>
      <c r="AJ66" s="3">
        <v>0</v>
      </c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>
        <v>90000</v>
      </c>
      <c r="AW66" s="3">
        <v>71019</v>
      </c>
      <c r="AX66" s="3">
        <v>20028</v>
      </c>
      <c r="AY66" s="3"/>
      <c r="AZ66" s="3"/>
      <c r="BA66" s="3"/>
      <c r="BB66" s="3"/>
      <c r="BC66" s="3"/>
      <c r="BD66" s="3"/>
      <c r="BE66" s="3"/>
      <c r="BF66" s="3"/>
      <c r="BG66" s="3"/>
      <c r="BH66" s="3">
        <v>0</v>
      </c>
      <c r="BI66" s="3">
        <v>-300000</v>
      </c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1">
        <v>0</v>
      </c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>
        <v>1</v>
      </c>
      <c r="CG66" s="1">
        <v>1</v>
      </c>
      <c r="CH66" s="1">
        <v>1</v>
      </c>
      <c r="CI66" s="1"/>
      <c r="CJ66" s="1"/>
      <c r="CK66" s="1"/>
      <c r="CL66" s="1"/>
      <c r="CM66" s="1"/>
      <c r="CN66" s="1"/>
      <c r="CO66" s="1"/>
      <c r="CP66" s="1"/>
      <c r="CQ66" s="1"/>
      <c r="CR66" s="1">
        <v>1</v>
      </c>
      <c r="CS66" s="1">
        <v>1</v>
      </c>
      <c r="CT66" s="1">
        <v>1</v>
      </c>
      <c r="CU66" s="1"/>
      <c r="CV66" s="1"/>
      <c r="CW66" s="1"/>
      <c r="CX66" s="1"/>
      <c r="CY66" s="1"/>
      <c r="CZ66" s="1"/>
      <c r="DA66" s="1"/>
      <c r="DB66" s="1"/>
      <c r="DC66" s="1"/>
      <c r="DD66" s="1">
        <v>0</v>
      </c>
      <c r="DE66" s="1">
        <v>1</v>
      </c>
      <c r="DF66" s="1">
        <v>1</v>
      </c>
      <c r="DG66" s="1"/>
      <c r="DH66" s="1"/>
      <c r="DI66" s="1"/>
      <c r="DJ66" s="1"/>
      <c r="DK66" s="1"/>
      <c r="DL66" s="1"/>
      <c r="DM66" s="1"/>
      <c r="DN66" s="1"/>
      <c r="DO66" s="1"/>
      <c r="DP66" s="1">
        <v>1</v>
      </c>
      <c r="DQ66" s="1">
        <v>2</v>
      </c>
      <c r="DR66" s="1">
        <v>4</v>
      </c>
      <c r="DS66" s="1"/>
      <c r="DT66" s="1"/>
      <c r="DU66" s="1"/>
      <c r="DV66" s="1"/>
      <c r="DW66" s="1"/>
      <c r="DX66" s="1"/>
      <c r="DY66" s="1"/>
      <c r="DZ66" s="1"/>
      <c r="EA66" s="1"/>
    </row>
    <row r="67" spans="1:131" x14ac:dyDescent="0.3">
      <c r="A67">
        <v>8296004</v>
      </c>
      <c r="B67" s="1" t="s">
        <v>260</v>
      </c>
      <c r="C67" s="1" t="s">
        <v>24</v>
      </c>
      <c r="D67" s="1">
        <v>2015</v>
      </c>
      <c r="E67" s="1">
        <v>1</v>
      </c>
      <c r="F67" s="10">
        <f>Table3[[#This Row],[First season 
with SF]]+Table3[[#This Row],['# Services 
provided]]</f>
        <v>2</v>
      </c>
      <c r="G67" s="26">
        <f>(Table3[[#This Row],[Total Income 
(Race + Price 
sold + Offs - maintenance cost)]]-Table3[[#This Row],[Price 
Bought]])/Table3[[#This Row],[Price 
Bought]]</f>
        <v>-0.11927590357142867</v>
      </c>
      <c r="H67" s="31">
        <f>Table3[[#This Row],[Race 
earnings]]+Table3[[#This Row],[Price 
Sold]]-Table3[[#This Row],[Maintenance cost]]+Table3[[#This Row],[Total 
profit (Income - cost)]]</f>
        <v>123301.37349999999</v>
      </c>
      <c r="I67" s="3">
        <f>_xlfn.IFNA(VLOOKUP(Table3[[#This Row],[damId]],Sheet1!$A$2:$M$970,5, FALSE), VLOOKUP(Table3[[#This Row],[dam]],Sheet1!$B$2:$M$970,4, FALSE))</f>
        <v>0</v>
      </c>
      <c r="J67" s="3">
        <f>_xlfn.IFNA(VLOOKUP(Table3[[#This Row],[damId]],Sheet1!$A$2:$M$970,13, FALSE), VLOOKUP(Table3[[#This Row],[dam]],Sheet1!$B$2:$M$970,13, FALSE))</f>
        <v>20000</v>
      </c>
      <c r="K67" s="3">
        <f>_xlfn.IFNA(VLOOKUP(Table3[[#This Row],[damId]],Sheet1!$A$2:$M$970,11, FALSE), VLOOKUP(Table3[[#This Row],[dam]],Sheet1!$B$2:$M$970,11, FALSE))</f>
        <v>140000</v>
      </c>
      <c r="L67" s="3">
        <f>_xlfn.IFNA(VLOOKUP(Table3[[#This Row],[damId]],Sheet1!$A$2:$M$970,12, FALSE), VLOOKUP(Table3[[#This Row],[dam]],Sheet1!$B$2:$M$970,12, FALSE))</f>
        <v>160000</v>
      </c>
      <c r="M67" s="3">
        <f>_xlfn.IFNA(VLOOKUP(Table3[[#This Row],[damId]],Sheet1!$A$2:$T$970,20, FALSE), VLOOKUP(Table3[[#This Row],[dam]],Sheet1!$B$2:$T$970,20, FALSE))*Sheet1!$AD$3</f>
        <v>14835.6165</v>
      </c>
      <c r="N67" s="3">
        <f>Table3[[#This Row],[Total 
income (Earnings + value - stud fee)]]-Table3[[#This Row],[Maintenance cost ]]</f>
        <v>-21863.010000000002</v>
      </c>
      <c r="O67" s="3">
        <f>SUM(Table3[[#This Row],[income1]:[income12]])</f>
        <v>3000</v>
      </c>
      <c r="P67" s="3">
        <f>_xlfn.IFNA(VLOOKUP(Table3[[#This Row],[damId]],Sheet1!$A$2:$Y$970,23, FALSE), VLOOKUP(Table3[[#This Row],[dam]],Sheet1!$B$2:$Y$970,23, FALSE))*Sheet1!$AD$3</f>
        <v>24863.010000000002</v>
      </c>
      <c r="Q67" s="3">
        <f>SUM(Table3[[#This Row],[earningsInRaces1]:[earningsInRaces12]])</f>
        <v>0</v>
      </c>
      <c r="R67" s="3">
        <f>SUM(Table3[[#This Row],[auctionPrice1]:[auctionPrice12]])</f>
        <v>3000</v>
      </c>
      <c r="S67" s="3">
        <f>SUM(Table3[[#This Row],[studFeeUSD1]:[studFeeUSD12]])</f>
        <v>0</v>
      </c>
      <c r="T67" s="7">
        <f>COUNT(Table3[[#This Row],[successfulService1]:[successfulService12]])</f>
        <v>1</v>
      </c>
      <c r="U67" s="7">
        <f>SUM(Table3[[#This Row],[successfulService1]:[successfulService12]])</f>
        <v>1</v>
      </c>
      <c r="V67" s="7">
        <f>SUM(Table3[[#This Row],[soldInAuction1]:[soldInAuction12]])</f>
        <v>1</v>
      </c>
      <c r="W67" s="7">
        <f>SUM(Table3[[#This Row],[foreignHorse1]:[foreignHorse12]])</f>
        <v>0</v>
      </c>
      <c r="X67" s="3">
        <v>3000</v>
      </c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>
        <v>0</v>
      </c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>
        <v>3000</v>
      </c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>
        <v>0</v>
      </c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1">
        <v>0</v>
      </c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>
        <v>1</v>
      </c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>
        <v>1</v>
      </c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>
        <v>0</v>
      </c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>
        <v>1</v>
      </c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</row>
    <row r="68" spans="1:131" x14ac:dyDescent="0.3">
      <c r="A68">
        <v>8331381</v>
      </c>
      <c r="B68" s="1" t="s">
        <v>268</v>
      </c>
      <c r="C68" s="1" t="s">
        <v>139</v>
      </c>
      <c r="D68" s="1">
        <v>2015</v>
      </c>
      <c r="E68" s="1">
        <v>1</v>
      </c>
      <c r="F68" s="10">
        <f>Table3[[#This Row],[First season 
with SF]]+Table3[[#This Row],['# Services 
provided]]</f>
        <v>2</v>
      </c>
      <c r="G68" s="26">
        <f>(Table3[[#This Row],[Total Income 
(Race + Price 
sold + Offs - maintenance cost)]]-Table3[[#This Row],[Price 
Bought]])/Table3[[#This Row],[Price 
Bought]]</f>
        <v>0.38842867058823544</v>
      </c>
      <c r="H68" s="31">
        <f>Table3[[#This Row],[Race 
earnings]]+Table3[[#This Row],[Price 
Sold]]-Table3[[#This Row],[Maintenance cost]]+Table3[[#This Row],[Total 
profit (Income - cost)]]</f>
        <v>590082.18500000006</v>
      </c>
      <c r="I68" s="3">
        <f>_xlfn.IFNA(VLOOKUP(Table3[[#This Row],[damId]],Sheet1!$A$2:$M$970,5, FALSE), VLOOKUP(Table3[[#This Row],[dam]],Sheet1!$B$2:$M$970,4, FALSE))</f>
        <v>0</v>
      </c>
      <c r="J68" s="3">
        <f>_xlfn.IFNA(VLOOKUP(Table3[[#This Row],[damId]],Sheet1!$A$2:$M$970,13, FALSE), VLOOKUP(Table3[[#This Row],[dam]],Sheet1!$B$2:$M$970,13, FALSE))</f>
        <v>275000</v>
      </c>
      <c r="K68" s="3">
        <f>_xlfn.IFNA(VLOOKUP(Table3[[#This Row],[damId]],Sheet1!$A$2:$M$970,11, FALSE), VLOOKUP(Table3[[#This Row],[dam]],Sheet1!$B$2:$M$970,11, FALSE))</f>
        <v>425000</v>
      </c>
      <c r="L68" s="3">
        <f>_xlfn.IFNA(VLOOKUP(Table3[[#This Row],[damId]],Sheet1!$A$2:$M$970,12, FALSE), VLOOKUP(Table3[[#This Row],[dam]],Sheet1!$B$2:$M$970,12, FALSE))</f>
        <v>700000</v>
      </c>
      <c r="M68" s="3">
        <f>_xlfn.IFNA(VLOOKUP(Table3[[#This Row],[damId]],Sheet1!$A$2:$T$970,20, FALSE), VLOOKUP(Table3[[#This Row],[dam]],Sheet1!$B$2:$T$970,20, FALSE))*Sheet1!$AD$3</f>
        <v>29917.814999999999</v>
      </c>
      <c r="N68" s="3">
        <f>Table3[[#This Row],[Total 
income (Earnings + value - stud fee)]]-Table3[[#This Row],[Maintenance cost ]]</f>
        <v>-80000</v>
      </c>
      <c r="O68" s="3">
        <f>SUM(Table3[[#This Row],[income1]:[income12]])</f>
        <v>-80000</v>
      </c>
      <c r="P68" s="3">
        <f>_xlfn.IFNA(VLOOKUP(Table3[[#This Row],[damId]],Sheet1!$A$2:$Y$970,23, FALSE), VLOOKUP(Table3[[#This Row],[dam]],Sheet1!$B$2:$Y$970,23, FALSE))*Sheet1!$AD$3</f>
        <v>0</v>
      </c>
      <c r="Q68" s="3">
        <f>SUM(Table3[[#This Row],[earningsInRaces1]:[earningsInRaces12]])</f>
        <v>0</v>
      </c>
      <c r="R68" s="3">
        <f>SUM(Table3[[#This Row],[auctionPrice1]:[auctionPrice12]])</f>
        <v>0</v>
      </c>
      <c r="S68" s="3">
        <f>SUM(Table3[[#This Row],[studFeeUSD1]:[studFeeUSD12]])</f>
        <v>-80000</v>
      </c>
      <c r="T68" s="7">
        <f>COUNT(Table3[[#This Row],[successfulService1]:[successfulService12]])</f>
        <v>1</v>
      </c>
      <c r="U68" s="7">
        <f>SUM(Table3[[#This Row],[successfulService1]:[successfulService12]])</f>
        <v>0</v>
      </c>
      <c r="V68" s="7">
        <f>SUM(Table3[[#This Row],[soldInAuction1]:[soldInAuction12]])</f>
        <v>0</v>
      </c>
      <c r="W68" s="7">
        <f>SUM(Table3[[#This Row],[foreignHorse1]:[foreignHorse12]])</f>
        <v>0</v>
      </c>
      <c r="X68" s="3">
        <v>-80000</v>
      </c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>
        <v>-80000</v>
      </c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>
        <v>0</v>
      </c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>
        <v>0</v>
      </c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>
        <v>0</v>
      </c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>
        <v>1</v>
      </c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</row>
    <row r="69" spans="1:131" x14ac:dyDescent="0.3">
      <c r="A69">
        <v>8356627</v>
      </c>
      <c r="B69" s="1" t="s">
        <v>278</v>
      </c>
      <c r="C69" s="1" t="s">
        <v>139</v>
      </c>
      <c r="D69" s="1">
        <v>2015</v>
      </c>
      <c r="E69" s="1">
        <v>1</v>
      </c>
      <c r="F69" s="10">
        <f>Table3[[#This Row],[First season 
with SF]]+Table3[[#This Row],['# Services 
provided]]</f>
        <v>2</v>
      </c>
      <c r="G69" s="26">
        <f>(Table3[[#This Row],[Total Income 
(Race + Price 
sold + Offs - maintenance cost)]]-Table3[[#This Row],[Price 
Bought]])/Table3[[#This Row],[Price 
Bought]]</f>
        <v>-0.14047944999999992</v>
      </c>
      <c r="H69" s="31">
        <f>Table3[[#This Row],[Race 
earnings]]+Table3[[#This Row],[Price 
Sold]]-Table3[[#This Row],[Maintenance cost]]+Table3[[#This Row],[Total 
profit (Income - cost)]]</f>
        <v>171904.11000000002</v>
      </c>
      <c r="I69" s="3">
        <f>_xlfn.IFNA(VLOOKUP(Table3[[#This Row],[damId]],Sheet1!$A$2:$M$970,5, FALSE), VLOOKUP(Table3[[#This Row],[dam]],Sheet1!$B$2:$M$970,4, FALSE))</f>
        <v>0</v>
      </c>
      <c r="J69" s="3">
        <f>_xlfn.IFNA(VLOOKUP(Table3[[#This Row],[damId]],Sheet1!$A$2:$M$970,13, FALSE), VLOOKUP(Table3[[#This Row],[dam]],Sheet1!$B$2:$M$970,13, FALSE))</f>
        <v>-25000</v>
      </c>
      <c r="K69" s="3">
        <f>_xlfn.IFNA(VLOOKUP(Table3[[#This Row],[damId]],Sheet1!$A$2:$M$970,11, FALSE), VLOOKUP(Table3[[#This Row],[dam]],Sheet1!$B$2:$M$970,11, FALSE))</f>
        <v>200000</v>
      </c>
      <c r="L69" s="3">
        <f>_xlfn.IFNA(VLOOKUP(Table3[[#This Row],[damId]],Sheet1!$A$2:$M$970,12, FALSE), VLOOKUP(Table3[[#This Row],[dam]],Sheet1!$B$2:$M$970,12, FALSE))</f>
        <v>175000</v>
      </c>
      <c r="M69" s="3">
        <f>_xlfn.IFNA(VLOOKUP(Table3[[#This Row],[damId]],Sheet1!$A$2:$T$970,20, FALSE), VLOOKUP(Table3[[#This Row],[dam]],Sheet1!$B$2:$T$970,20, FALSE))*Sheet1!$AD$3</f>
        <v>29958.9</v>
      </c>
      <c r="N69" s="3">
        <f>Table3[[#This Row],[Total 
income (Earnings + value - stud fee)]]-Table3[[#This Row],[Maintenance cost ]]</f>
        <v>26863.010000000002</v>
      </c>
      <c r="O69" s="3">
        <f>SUM(Table3[[#This Row],[income1]:[income12]])</f>
        <v>50000</v>
      </c>
      <c r="P69" s="3">
        <f>_xlfn.IFNA(VLOOKUP(Table3[[#This Row],[damId]],Sheet1!$A$2:$Y$970,23, FALSE), VLOOKUP(Table3[[#This Row],[dam]],Sheet1!$B$2:$Y$970,23, FALSE))*Sheet1!$AD$3</f>
        <v>23136.989999999998</v>
      </c>
      <c r="Q69" s="3">
        <f>SUM(Table3[[#This Row],[earningsInRaces1]:[earningsInRaces12]])</f>
        <v>0</v>
      </c>
      <c r="R69" s="3">
        <f>SUM(Table3[[#This Row],[auctionPrice1]:[auctionPrice12]])</f>
        <v>70000</v>
      </c>
      <c r="S69" s="3">
        <f>SUM(Table3[[#This Row],[studFeeUSD1]:[studFeeUSD12]])</f>
        <v>-20000</v>
      </c>
      <c r="T69" s="7">
        <f>COUNT(Table3[[#This Row],[successfulService1]:[successfulService12]])</f>
        <v>1</v>
      </c>
      <c r="U69" s="7">
        <f>SUM(Table3[[#This Row],[successfulService1]:[successfulService12]])</f>
        <v>1</v>
      </c>
      <c r="V69" s="7">
        <f>SUM(Table3[[#This Row],[soldInAuction1]:[soldInAuction12]])</f>
        <v>1</v>
      </c>
      <c r="W69" s="7">
        <f>SUM(Table3[[#This Row],[foreignHorse1]:[foreignHorse12]])</f>
        <v>0</v>
      </c>
      <c r="X69" s="3">
        <v>50000</v>
      </c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>
        <v>0</v>
      </c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>
        <v>70000</v>
      </c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>
        <v>-20000</v>
      </c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1">
        <v>0</v>
      </c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>
        <v>1</v>
      </c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>
        <v>1</v>
      </c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>
        <v>0</v>
      </c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>
        <v>1</v>
      </c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</row>
    <row r="70" spans="1:131" x14ac:dyDescent="0.3">
      <c r="A70">
        <v>8366395</v>
      </c>
      <c r="B70" s="1" t="s">
        <v>280</v>
      </c>
      <c r="C70" s="1" t="s">
        <v>139</v>
      </c>
      <c r="D70" s="1">
        <v>2015</v>
      </c>
      <c r="E70" s="1">
        <v>1</v>
      </c>
      <c r="F70" s="10">
        <f>Table3[[#This Row],[First season 
with SF]]+Table3[[#This Row],['# Services 
provided]]</f>
        <v>2</v>
      </c>
      <c r="G70" s="26">
        <f>(Table3[[#This Row],[Total Income 
(Race + Price 
sold + Offs - maintenance cost)]]-Table3[[#This Row],[Price 
Bought]])/Table3[[#This Row],[Price 
Bought]]</f>
        <v>0.8760844166666667</v>
      </c>
      <c r="H70" s="31">
        <f>Table3[[#This Row],[Race 
earnings]]+Table3[[#This Row],[Price 
Sold]]-Table3[[#This Row],[Maintenance cost]]+Table3[[#This Row],[Total 
profit (Income - cost)]]</f>
        <v>450260.26</v>
      </c>
      <c r="I70" s="3">
        <f>_xlfn.IFNA(VLOOKUP(Table3[[#This Row],[damId]],Sheet1!$A$2:$M$970,5, FALSE), VLOOKUP(Table3[[#This Row],[dam]],Sheet1!$B$2:$M$970,4, FALSE))</f>
        <v>0</v>
      </c>
      <c r="J70" s="3">
        <f>_xlfn.IFNA(VLOOKUP(Table3[[#This Row],[damId]],Sheet1!$A$2:$M$970,13, FALSE), VLOOKUP(Table3[[#This Row],[dam]],Sheet1!$B$2:$M$970,13, FALSE))</f>
        <v>250000</v>
      </c>
      <c r="K70" s="3">
        <f>_xlfn.IFNA(VLOOKUP(Table3[[#This Row],[damId]],Sheet1!$A$2:$M$970,11, FALSE), VLOOKUP(Table3[[#This Row],[dam]],Sheet1!$B$2:$M$970,11, FALSE))</f>
        <v>240000</v>
      </c>
      <c r="L70" s="3">
        <f>_xlfn.IFNA(VLOOKUP(Table3[[#This Row],[damId]],Sheet1!$A$2:$M$970,12, FALSE), VLOOKUP(Table3[[#This Row],[dam]],Sheet1!$B$2:$M$970,12, FALSE))</f>
        <v>490000</v>
      </c>
      <c r="M70" s="3">
        <f>_xlfn.IFNA(VLOOKUP(Table3[[#This Row],[damId]],Sheet1!$A$2:$T$970,20, FALSE), VLOOKUP(Table3[[#This Row],[dam]],Sheet1!$B$2:$T$970,20, FALSE))*Sheet1!$AD$3</f>
        <v>29917.814999999999</v>
      </c>
      <c r="N70" s="3">
        <f>Table3[[#This Row],[Total 
income (Earnings + value - stud fee)]]-Table3[[#This Row],[Maintenance cost ]]</f>
        <v>-9821.9249999999993</v>
      </c>
      <c r="O70" s="3">
        <f>SUM(Table3[[#This Row],[income1]:[income12]])</f>
        <v>12000</v>
      </c>
      <c r="P70" s="3">
        <f>_xlfn.IFNA(VLOOKUP(Table3[[#This Row],[damId]],Sheet1!$A$2:$Y$970,23, FALSE), VLOOKUP(Table3[[#This Row],[dam]],Sheet1!$B$2:$Y$970,23, FALSE))*Sheet1!$AD$3</f>
        <v>21821.924999999999</v>
      </c>
      <c r="Q70" s="3">
        <f>SUM(Table3[[#This Row],[earningsInRaces1]:[earningsInRaces12]])</f>
        <v>0</v>
      </c>
      <c r="R70" s="3">
        <f>SUM(Table3[[#This Row],[auctionPrice1]:[auctionPrice12]])</f>
        <v>32000</v>
      </c>
      <c r="S70" s="3">
        <f>SUM(Table3[[#This Row],[studFeeUSD1]:[studFeeUSD12]])</f>
        <v>-20000</v>
      </c>
      <c r="T70" s="7">
        <f>COUNT(Table3[[#This Row],[successfulService1]:[successfulService12]])</f>
        <v>1</v>
      </c>
      <c r="U70" s="7">
        <f>SUM(Table3[[#This Row],[successfulService1]:[successfulService12]])</f>
        <v>1</v>
      </c>
      <c r="V70" s="7">
        <f>SUM(Table3[[#This Row],[soldInAuction1]:[soldInAuction12]])</f>
        <v>1</v>
      </c>
      <c r="W70" s="7">
        <f>SUM(Table3[[#This Row],[foreignHorse1]:[foreignHorse12]])</f>
        <v>0</v>
      </c>
      <c r="X70" s="3">
        <v>12000</v>
      </c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>
        <v>0</v>
      </c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>
        <v>32000</v>
      </c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>
        <v>-20000</v>
      </c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1">
        <v>0</v>
      </c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>
        <v>1</v>
      </c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>
        <v>1</v>
      </c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>
        <v>0</v>
      </c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>
        <v>1</v>
      </c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</row>
    <row r="71" spans="1:131" x14ac:dyDescent="0.3">
      <c r="A71">
        <v>8548991</v>
      </c>
      <c r="B71" s="1" t="s">
        <v>293</v>
      </c>
      <c r="C71" s="1" t="s">
        <v>139</v>
      </c>
      <c r="D71" s="1">
        <v>2015</v>
      </c>
      <c r="E71" s="1">
        <v>1</v>
      </c>
      <c r="F71" s="10">
        <f>Table3[[#This Row],[First season 
with SF]]+Table3[[#This Row],['# Services 
provided]]</f>
        <v>6</v>
      </c>
      <c r="G71" s="26">
        <f>(Table3[[#This Row],[Total Income 
(Race + Price 
sold + Offs - maintenance cost)]]-Table3[[#This Row],[Price 
Bought]])/Table3[[#This Row],[Price 
Bought]]</f>
        <v>-9.9046563999999986</v>
      </c>
      <c r="H71" s="31">
        <f>Table3[[#This Row],[Race 
earnings]]+Table3[[#This Row],[Price 
Sold]]-Table3[[#This Row],[Maintenance cost]]+Table3[[#This Row],[Total 
profit (Income - cost)]]</f>
        <v>-222616.40999999997</v>
      </c>
      <c r="I71" s="3">
        <f>_xlfn.IFNA(VLOOKUP(Table3[[#This Row],[damId]],Sheet1!$A$2:$M$970,5, FALSE), VLOOKUP(Table3[[#This Row],[dam]],Sheet1!$B$2:$M$970,4, FALSE))</f>
        <v>0</v>
      </c>
      <c r="J71" s="3">
        <f>_xlfn.IFNA(VLOOKUP(Table3[[#This Row],[damId]],Sheet1!$A$2:$M$970,13, FALSE), VLOOKUP(Table3[[#This Row],[dam]],Sheet1!$B$2:$M$970,13, FALSE))</f>
        <v>-25000</v>
      </c>
      <c r="K71" s="3">
        <f>_xlfn.IFNA(VLOOKUP(Table3[[#This Row],[damId]],Sheet1!$A$2:$M$970,11, FALSE), VLOOKUP(Table3[[#This Row],[dam]],Sheet1!$B$2:$M$970,11, FALSE))</f>
        <v>25000</v>
      </c>
      <c r="L71" s="3">
        <f>_xlfn.IFNA(VLOOKUP(Table3[[#This Row],[damId]],Sheet1!$A$2:$M$970,12, FALSE), VLOOKUP(Table3[[#This Row],[dam]],Sheet1!$B$2:$M$970,12, FALSE))</f>
        <v>0</v>
      </c>
      <c r="M71" s="3">
        <f>_xlfn.IFNA(VLOOKUP(Table3[[#This Row],[damId]],Sheet1!$A$2:$T$970,20, FALSE), VLOOKUP(Table3[[#This Row],[dam]],Sheet1!$B$2:$T$970,20, FALSE))*Sheet1!$AD$3</f>
        <v>169150.65</v>
      </c>
      <c r="N71" s="3">
        <f>Table3[[#This Row],[Total 
income (Earnings + value - stud fee)]]-Table3[[#This Row],[Maintenance cost ]]</f>
        <v>-53465.759999999995</v>
      </c>
      <c r="O71" s="3">
        <f>SUM(Table3[[#This Row],[income1]:[income12]])</f>
        <v>-30000</v>
      </c>
      <c r="P71" s="3">
        <f>_xlfn.IFNA(VLOOKUP(Table3[[#This Row],[damId]],Sheet1!$A$2:$Y$970,23, FALSE), VLOOKUP(Table3[[#This Row],[dam]],Sheet1!$B$2:$Y$970,23, FALSE))*Sheet1!$AD$3</f>
        <v>23465.759999999998</v>
      </c>
      <c r="Q71" s="3">
        <f>SUM(Table3[[#This Row],[earningsInRaces1]:[earningsInRaces12]])</f>
        <v>0</v>
      </c>
      <c r="R71" s="3">
        <f>SUM(Table3[[#This Row],[auctionPrice1]:[auctionPrice12]])</f>
        <v>15000</v>
      </c>
      <c r="S71" s="3">
        <f>SUM(Table3[[#This Row],[studFeeUSD1]:[studFeeUSD12]])</f>
        <v>-45000</v>
      </c>
      <c r="T71" s="7">
        <f>COUNT(Table3[[#This Row],[successfulService1]:[successfulService12]])</f>
        <v>5</v>
      </c>
      <c r="U71" s="7">
        <f>SUM(Table3[[#This Row],[successfulService1]:[successfulService12]])</f>
        <v>5</v>
      </c>
      <c r="V71" s="7">
        <f>SUM(Table3[[#This Row],[soldInAuction1]:[soldInAuction12]])</f>
        <v>1</v>
      </c>
      <c r="W71" s="7">
        <f>SUM(Table3[[#This Row],[foreignHorse1]:[foreignHorse12]])</f>
        <v>2</v>
      </c>
      <c r="X71" s="3">
        <v>0</v>
      </c>
      <c r="Y71" s="3">
        <v>-30000</v>
      </c>
      <c r="Z71" s="3">
        <v>0</v>
      </c>
      <c r="AA71" s="3">
        <v>0</v>
      </c>
      <c r="AB71" s="3">
        <v>0</v>
      </c>
      <c r="AC71" s="3"/>
      <c r="AD71" s="3"/>
      <c r="AE71" s="3"/>
      <c r="AF71" s="3"/>
      <c r="AG71" s="3"/>
      <c r="AH71" s="3"/>
      <c r="AI71" s="3"/>
      <c r="AJ71" s="3">
        <v>0</v>
      </c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>
        <v>15000</v>
      </c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>
        <v>-15000</v>
      </c>
      <c r="BI71" s="3">
        <v>-30000</v>
      </c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1">
        <v>0</v>
      </c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>
        <v>1</v>
      </c>
      <c r="CG71" s="1">
        <v>1</v>
      </c>
      <c r="CH71" s="1">
        <v>1</v>
      </c>
      <c r="CI71" s="1">
        <v>1</v>
      </c>
      <c r="CJ71" s="1">
        <v>1</v>
      </c>
      <c r="CK71" s="1"/>
      <c r="CL71" s="1"/>
      <c r="CM71" s="1"/>
      <c r="CN71" s="1"/>
      <c r="CO71" s="1"/>
      <c r="CP71" s="1"/>
      <c r="CQ71" s="1"/>
      <c r="CR71" s="1">
        <v>1</v>
      </c>
      <c r="CS71" s="1">
        <v>0</v>
      </c>
      <c r="CT71" s="1">
        <v>0</v>
      </c>
      <c r="CU71" s="1">
        <v>0</v>
      </c>
      <c r="CV71" s="1">
        <v>0</v>
      </c>
      <c r="CW71" s="1"/>
      <c r="CX71" s="1"/>
      <c r="CY71" s="1"/>
      <c r="CZ71" s="1"/>
      <c r="DA71" s="1"/>
      <c r="DB71" s="1"/>
      <c r="DC71" s="1"/>
      <c r="DD71" s="1">
        <v>0</v>
      </c>
      <c r="DE71" s="1">
        <v>0</v>
      </c>
      <c r="DF71" s="1">
        <v>1</v>
      </c>
      <c r="DG71" s="1">
        <v>1</v>
      </c>
      <c r="DH71" s="1">
        <v>0</v>
      </c>
      <c r="DI71" s="1"/>
      <c r="DJ71" s="1"/>
      <c r="DK71" s="1"/>
      <c r="DL71" s="1"/>
      <c r="DM71" s="1"/>
      <c r="DN71" s="1"/>
      <c r="DO71" s="1"/>
      <c r="DP71" s="1">
        <v>1</v>
      </c>
      <c r="DQ71" s="1">
        <v>2</v>
      </c>
      <c r="DR71" s="1">
        <v>3</v>
      </c>
      <c r="DS71" s="1">
        <v>5</v>
      </c>
      <c r="DT71" s="1">
        <v>6</v>
      </c>
      <c r="DU71" s="1"/>
      <c r="DV71" s="1"/>
      <c r="DW71" s="1"/>
      <c r="DX71" s="1"/>
      <c r="DY71" s="1"/>
      <c r="DZ71" s="1"/>
      <c r="EA71" s="1"/>
    </row>
    <row r="72" spans="1:131" x14ac:dyDescent="0.3">
      <c r="A72">
        <v>8571544</v>
      </c>
      <c r="B72" s="1" t="s">
        <v>295</v>
      </c>
      <c r="C72" s="1" t="s">
        <v>139</v>
      </c>
      <c r="D72" s="1">
        <v>2015</v>
      </c>
      <c r="E72" s="1">
        <v>1</v>
      </c>
      <c r="F72" s="10">
        <f>Table3[[#This Row],[First season 
with SF]]+Table3[[#This Row],['# Services 
provided]]</f>
        <v>2</v>
      </c>
      <c r="G72" s="26">
        <f>(Table3[[#This Row],[Total Income 
(Race + Price 
sold + Offs - maintenance cost)]]-Table3[[#This Row],[Price 
Bought]])/Table3[[#This Row],[Price 
Bought]]</f>
        <v>-0.73600781428571438</v>
      </c>
      <c r="H72" s="31">
        <f>Table3[[#This Row],[Race 
earnings]]+Table3[[#This Row],[Price 
Sold]]-Table3[[#This Row],[Maintenance cost]]+Table3[[#This Row],[Total 
profit (Income - cost)]]</f>
        <v>18479.452999999994</v>
      </c>
      <c r="I72" s="3">
        <f>_xlfn.IFNA(VLOOKUP(Table3[[#This Row],[damId]],Sheet1!$A$2:$M$970,5, FALSE), VLOOKUP(Table3[[#This Row],[dam]],Sheet1!$B$2:$M$970,4, FALSE))</f>
        <v>0</v>
      </c>
      <c r="J72" s="3">
        <f>_xlfn.IFNA(VLOOKUP(Table3[[#This Row],[damId]],Sheet1!$A$2:$M$970,13, FALSE), VLOOKUP(Table3[[#This Row],[dam]],Sheet1!$B$2:$M$970,13, FALSE))</f>
        <v>5000</v>
      </c>
      <c r="K72" s="3">
        <f>_xlfn.IFNA(VLOOKUP(Table3[[#This Row],[damId]],Sheet1!$A$2:$M$970,11, FALSE), VLOOKUP(Table3[[#This Row],[dam]],Sheet1!$B$2:$M$970,11, FALSE))</f>
        <v>70000</v>
      </c>
      <c r="L72" s="3">
        <f>_xlfn.IFNA(VLOOKUP(Table3[[#This Row],[damId]],Sheet1!$A$2:$M$970,12, FALSE), VLOOKUP(Table3[[#This Row],[dam]],Sheet1!$B$2:$M$970,12, FALSE))</f>
        <v>75000</v>
      </c>
      <c r="M72" s="3">
        <f>_xlfn.IFNA(VLOOKUP(Table3[[#This Row],[damId]],Sheet1!$A$2:$T$970,20, FALSE), VLOOKUP(Table3[[#This Row],[dam]],Sheet1!$B$2:$T$970,20, FALSE))*Sheet1!$AD$3</f>
        <v>29835.615000000002</v>
      </c>
      <c r="N72" s="3">
        <f>Table3[[#This Row],[Total 
income (Earnings + value - stud fee)]]-Table3[[#This Row],[Maintenance cost ]]</f>
        <v>-26684.932000000001</v>
      </c>
      <c r="O72" s="3">
        <f>SUM(Table3[[#This Row],[income1]:[income12]])</f>
        <v>-13000</v>
      </c>
      <c r="P72" s="3">
        <f>_xlfn.IFNA(VLOOKUP(Table3[[#This Row],[damId]],Sheet1!$A$2:$Y$970,23, FALSE), VLOOKUP(Table3[[#This Row],[dam]],Sheet1!$B$2:$Y$970,23, FALSE))*Sheet1!$AD$3</f>
        <v>13684.932000000001</v>
      </c>
      <c r="Q72" s="3">
        <f>SUM(Table3[[#This Row],[earningsInRaces1]:[earningsInRaces12]])</f>
        <v>0</v>
      </c>
      <c r="R72" s="3">
        <f>SUM(Table3[[#This Row],[auctionPrice1]:[auctionPrice12]])</f>
        <v>2000</v>
      </c>
      <c r="S72" s="3">
        <f>SUM(Table3[[#This Row],[studFeeUSD1]:[studFeeUSD12]])</f>
        <v>-15000</v>
      </c>
      <c r="T72" s="7">
        <f>COUNT(Table3[[#This Row],[successfulService1]:[successfulService12]])</f>
        <v>1</v>
      </c>
      <c r="U72" s="7">
        <f>SUM(Table3[[#This Row],[successfulService1]:[successfulService12]])</f>
        <v>1</v>
      </c>
      <c r="V72" s="7">
        <f>SUM(Table3[[#This Row],[soldInAuction1]:[soldInAuction12]])</f>
        <v>1</v>
      </c>
      <c r="W72" s="7">
        <f>SUM(Table3[[#This Row],[foreignHorse1]:[foreignHorse12]])</f>
        <v>0</v>
      </c>
      <c r="X72" s="3">
        <v>-13000</v>
      </c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>
        <v>0</v>
      </c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>
        <v>2000</v>
      </c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>
        <v>-15000</v>
      </c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1">
        <v>0</v>
      </c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>
        <v>1</v>
      </c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>
        <v>1</v>
      </c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>
        <v>0</v>
      </c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>
        <v>1</v>
      </c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</row>
    <row r="73" spans="1:131" x14ac:dyDescent="0.3">
      <c r="A73">
        <v>8581723</v>
      </c>
      <c r="B73" s="1" t="s">
        <v>301</v>
      </c>
      <c r="C73" s="1" t="s">
        <v>24</v>
      </c>
      <c r="D73" s="1">
        <v>2015</v>
      </c>
      <c r="E73" s="1">
        <v>1</v>
      </c>
      <c r="F73" s="10">
        <f>Table3[[#This Row],[First season 
with SF]]+Table3[[#This Row],['# Services 
provided]]</f>
        <v>2</v>
      </c>
      <c r="G73" s="26">
        <f>(Table3[[#This Row],[Total Income 
(Race + Price 
sold + Offs - maintenance cost)]]-Table3[[#This Row],[Price 
Bought]])/Table3[[#This Row],[Price 
Bought]]</f>
        <v>0.40216296052631589</v>
      </c>
      <c r="H73" s="31">
        <f>Table3[[#This Row],[Race 
earnings]]+Table3[[#This Row],[Price 
Sold]]-Table3[[#This Row],[Maintenance cost]]+Table3[[#This Row],[Total 
profit (Income - cost)]]</f>
        <v>266410.96250000002</v>
      </c>
      <c r="I73" s="3">
        <f>_xlfn.IFNA(VLOOKUP(Table3[[#This Row],[damId]],Sheet1!$A$2:$M$970,5, FALSE), VLOOKUP(Table3[[#This Row],[dam]],Sheet1!$B$2:$M$970,4, FALSE))</f>
        <v>0</v>
      </c>
      <c r="J73" s="3">
        <f>_xlfn.IFNA(VLOOKUP(Table3[[#This Row],[damId]],Sheet1!$A$2:$M$970,13, FALSE), VLOOKUP(Table3[[#This Row],[dam]],Sheet1!$B$2:$M$970,13, FALSE))</f>
        <v>-35000</v>
      </c>
      <c r="K73" s="3">
        <f>_xlfn.IFNA(VLOOKUP(Table3[[#This Row],[damId]],Sheet1!$A$2:$M$970,11, FALSE), VLOOKUP(Table3[[#This Row],[dam]],Sheet1!$B$2:$M$970,11, FALSE))</f>
        <v>190000</v>
      </c>
      <c r="L73" s="3">
        <f>_xlfn.IFNA(VLOOKUP(Table3[[#This Row],[damId]],Sheet1!$A$2:$M$970,12, FALSE), VLOOKUP(Table3[[#This Row],[dam]],Sheet1!$B$2:$M$970,12, FALSE))</f>
        <v>155000</v>
      </c>
      <c r="M73" s="3">
        <f>_xlfn.IFNA(VLOOKUP(Table3[[#This Row],[damId]],Sheet1!$A$2:$T$970,20, FALSE), VLOOKUP(Table3[[#This Row],[dam]],Sheet1!$B$2:$T$970,20, FALSE))*Sheet1!$AD$3</f>
        <v>14917.807500000001</v>
      </c>
      <c r="N73" s="3">
        <f>Table3[[#This Row],[Total 
income (Earnings + value - stud fee)]]-Table3[[#This Row],[Maintenance cost ]]</f>
        <v>126328.77</v>
      </c>
      <c r="O73" s="3">
        <f>SUM(Table3[[#This Row],[income1]:[income12]])</f>
        <v>150000</v>
      </c>
      <c r="P73" s="3">
        <f>_xlfn.IFNA(VLOOKUP(Table3[[#This Row],[damId]],Sheet1!$A$2:$Y$970,23, FALSE), VLOOKUP(Table3[[#This Row],[dam]],Sheet1!$B$2:$Y$970,23, FALSE))*Sheet1!$AD$3</f>
        <v>23671.23</v>
      </c>
      <c r="Q73" s="3">
        <f>SUM(Table3[[#This Row],[earningsInRaces1]:[earningsInRaces12]])</f>
        <v>0</v>
      </c>
      <c r="R73" s="3">
        <f>SUM(Table3[[#This Row],[auctionPrice1]:[auctionPrice12]])</f>
        <v>150000</v>
      </c>
      <c r="S73" s="3">
        <f>SUM(Table3[[#This Row],[studFeeUSD1]:[studFeeUSD12]])</f>
        <v>0</v>
      </c>
      <c r="T73" s="7">
        <f>COUNT(Table3[[#This Row],[successfulService1]:[successfulService12]])</f>
        <v>1</v>
      </c>
      <c r="U73" s="7">
        <f>SUM(Table3[[#This Row],[successfulService1]:[successfulService12]])</f>
        <v>1</v>
      </c>
      <c r="V73" s="7">
        <f>SUM(Table3[[#This Row],[soldInAuction1]:[soldInAuction12]])</f>
        <v>1</v>
      </c>
      <c r="W73" s="7">
        <f>SUM(Table3[[#This Row],[foreignHorse1]:[foreignHorse12]])</f>
        <v>0</v>
      </c>
      <c r="X73" s="3">
        <v>150000</v>
      </c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>
        <v>0</v>
      </c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>
        <v>150000</v>
      </c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>
        <v>0</v>
      </c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1">
        <v>0</v>
      </c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>
        <v>1</v>
      </c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>
        <v>1</v>
      </c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>
        <v>0</v>
      </c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>
        <v>1</v>
      </c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</row>
    <row r="74" spans="1:131" x14ac:dyDescent="0.3">
      <c r="A74">
        <v>8591511</v>
      </c>
      <c r="B74" s="1" t="s">
        <v>307</v>
      </c>
      <c r="C74" s="1" t="s">
        <v>139</v>
      </c>
      <c r="D74" s="1">
        <v>2015</v>
      </c>
      <c r="E74" s="1">
        <v>1</v>
      </c>
      <c r="F74" s="10">
        <f>Table3[[#This Row],[First season 
with SF]]+Table3[[#This Row],['# Services 
provided]]</f>
        <v>2</v>
      </c>
      <c r="G74" s="26">
        <f>(Table3[[#This Row],[Total Income 
(Race + Price 
sold + Offs - maintenance cost)]]-Table3[[#This Row],[Price 
Bought]])/Table3[[#This Row],[Price 
Bought]]</f>
        <v>-0.90639266666666662</v>
      </c>
      <c r="H74" s="31">
        <f>Table3[[#This Row],[Race 
earnings]]+Table3[[#This Row],[Price 
Sold]]-Table3[[#This Row],[Maintenance cost]]+Table3[[#This Row],[Total 
profit (Income - cost)]]</f>
        <v>5616.4399999999987</v>
      </c>
      <c r="I74" s="3">
        <f>_xlfn.IFNA(VLOOKUP(Table3[[#This Row],[damId]],Sheet1!$A$2:$M$970,5, FALSE), VLOOKUP(Table3[[#This Row],[dam]],Sheet1!$B$2:$M$970,4, FALSE))</f>
        <v>0</v>
      </c>
      <c r="J74" s="3">
        <f>_xlfn.IFNA(VLOOKUP(Table3[[#This Row],[damId]],Sheet1!$A$2:$M$970,13, FALSE), VLOOKUP(Table3[[#This Row],[dam]],Sheet1!$B$2:$M$970,13, FALSE))</f>
        <v>-10000</v>
      </c>
      <c r="K74" s="3">
        <f>_xlfn.IFNA(VLOOKUP(Table3[[#This Row],[damId]],Sheet1!$A$2:$M$970,11, FALSE), VLOOKUP(Table3[[#This Row],[dam]],Sheet1!$B$2:$M$970,11, FALSE))</f>
        <v>60000</v>
      </c>
      <c r="L74" s="3">
        <f>_xlfn.IFNA(VLOOKUP(Table3[[#This Row],[damId]],Sheet1!$A$2:$M$970,12, FALSE), VLOOKUP(Table3[[#This Row],[dam]],Sheet1!$B$2:$M$970,12, FALSE))</f>
        <v>50000</v>
      </c>
      <c r="M74" s="3">
        <f>_xlfn.IFNA(VLOOKUP(Table3[[#This Row],[damId]],Sheet1!$A$2:$T$970,20, FALSE), VLOOKUP(Table3[[#This Row],[dam]],Sheet1!$B$2:$T$970,20, FALSE))*Sheet1!$AD$3</f>
        <v>29383.56</v>
      </c>
      <c r="N74" s="3">
        <f>Table3[[#This Row],[Total 
income (Earnings + value - stud fee)]]-Table3[[#This Row],[Maintenance cost ]]</f>
        <v>-15000</v>
      </c>
      <c r="O74" s="3">
        <f>SUM(Table3[[#This Row],[income1]:[income12]])</f>
        <v>-15000</v>
      </c>
      <c r="P74" s="3">
        <f>_xlfn.IFNA(VLOOKUP(Table3[[#This Row],[damId]],Sheet1!$A$2:$Y$970,23, FALSE), VLOOKUP(Table3[[#This Row],[dam]],Sheet1!$B$2:$Y$970,23, FALSE))*Sheet1!$AD$3</f>
        <v>0</v>
      </c>
      <c r="Q74" s="3">
        <f>SUM(Table3[[#This Row],[earningsInRaces1]:[earningsInRaces12]])</f>
        <v>0</v>
      </c>
      <c r="R74" s="3">
        <f>SUM(Table3[[#This Row],[auctionPrice1]:[auctionPrice12]])</f>
        <v>0</v>
      </c>
      <c r="S74" s="3">
        <f>SUM(Table3[[#This Row],[studFeeUSD1]:[studFeeUSD12]])</f>
        <v>-15000</v>
      </c>
      <c r="T74" s="7">
        <f>COUNT(Table3[[#This Row],[successfulService1]:[successfulService12]])</f>
        <v>1</v>
      </c>
      <c r="U74" s="7">
        <f>SUM(Table3[[#This Row],[successfulService1]:[successfulService12]])</f>
        <v>0</v>
      </c>
      <c r="V74" s="7">
        <f>SUM(Table3[[#This Row],[soldInAuction1]:[soldInAuction12]])</f>
        <v>0</v>
      </c>
      <c r="W74" s="7">
        <f>SUM(Table3[[#This Row],[foreignHorse1]:[foreignHorse12]])</f>
        <v>0</v>
      </c>
      <c r="X74" s="3">
        <v>-15000</v>
      </c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>
        <v>-15000</v>
      </c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>
        <v>0</v>
      </c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>
        <v>0</v>
      </c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>
        <v>0</v>
      </c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>
        <v>1</v>
      </c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</row>
    <row r="75" spans="1:131" x14ac:dyDescent="0.3">
      <c r="A75">
        <v>8594974</v>
      </c>
      <c r="B75" s="1" t="s">
        <v>313</v>
      </c>
      <c r="C75" s="1" t="s">
        <v>24</v>
      </c>
      <c r="D75" s="1">
        <v>2015</v>
      </c>
      <c r="E75" s="1">
        <v>1</v>
      </c>
      <c r="F75" s="10">
        <f>Table3[[#This Row],[First season 
with SF]]+Table3[[#This Row],['# Services 
provided]]</f>
        <v>8</v>
      </c>
      <c r="G75" s="26">
        <f>(Table3[[#This Row],[Total Income 
(Race + Price 
sold + Offs - maintenance cost)]]-Table3[[#This Row],[Price 
Bought]])/Table3[[#This Row],[Price 
Bought]]</f>
        <v>5.096006142857143</v>
      </c>
      <c r="H75" s="31">
        <f>Table3[[#This Row],[Race 
earnings]]+Table3[[#This Row],[Price 
Sold]]-Table3[[#This Row],[Maintenance cost]]+Table3[[#This Row],[Total 
profit (Income - cost)]]</f>
        <v>426720.43</v>
      </c>
      <c r="I75" s="3">
        <f>_xlfn.IFNA(VLOOKUP(Table3[[#This Row],[damId]],Sheet1!$A$2:$M$970,5, FALSE), VLOOKUP(Table3[[#This Row],[dam]],Sheet1!$B$2:$M$970,4, FALSE))</f>
        <v>0</v>
      </c>
      <c r="J75" s="3">
        <f>_xlfn.IFNA(VLOOKUP(Table3[[#This Row],[damId]],Sheet1!$A$2:$M$970,13, FALSE), VLOOKUP(Table3[[#This Row],[dam]],Sheet1!$B$2:$M$970,13, FALSE))</f>
        <v>-65661</v>
      </c>
      <c r="K75" s="3">
        <f>_xlfn.IFNA(VLOOKUP(Table3[[#This Row],[damId]],Sheet1!$A$2:$M$970,11, FALSE), VLOOKUP(Table3[[#This Row],[dam]],Sheet1!$B$2:$M$970,11, FALSE))</f>
        <v>70000</v>
      </c>
      <c r="L75" s="3">
        <f>_xlfn.IFNA(VLOOKUP(Table3[[#This Row],[damId]],Sheet1!$A$2:$M$970,12, FALSE), VLOOKUP(Table3[[#This Row],[dam]],Sheet1!$B$2:$M$970,12, FALSE))</f>
        <v>4339</v>
      </c>
      <c r="M75" s="3">
        <f>_xlfn.IFNA(VLOOKUP(Table3[[#This Row],[damId]],Sheet1!$A$2:$T$970,20, FALSE), VLOOKUP(Table3[[#This Row],[dam]],Sheet1!$B$2:$T$970,20, FALSE))*Sheet1!$AD$3</f>
        <v>126246.56999999999</v>
      </c>
      <c r="N75" s="3">
        <f>Table3[[#This Row],[Total 
income (Earnings + value - stud fee)]]-Table3[[#This Row],[Maintenance cost ]]</f>
        <v>548628</v>
      </c>
      <c r="O75" s="3">
        <f>SUM(Table3[[#This Row],[income1]:[income12]])</f>
        <v>548628</v>
      </c>
      <c r="P75" s="3">
        <f>_xlfn.IFNA(VLOOKUP(Table3[[#This Row],[damId]],Sheet1!$A$2:$Y$970,23, FALSE), VLOOKUP(Table3[[#This Row],[dam]],Sheet1!$B$2:$Y$970,23, FALSE))*Sheet1!$AD$3</f>
        <v>0</v>
      </c>
      <c r="Q75" s="3">
        <f>SUM(Table3[[#This Row],[earningsInRaces1]:[earningsInRaces12]])</f>
        <v>0</v>
      </c>
      <c r="R75" s="3">
        <f>SUM(Table3[[#This Row],[auctionPrice1]:[auctionPrice12]])</f>
        <v>713628</v>
      </c>
      <c r="S75" s="3">
        <f>SUM(Table3[[#This Row],[studFeeUSD1]:[studFeeUSD12]])</f>
        <v>-165000</v>
      </c>
      <c r="T75" s="7">
        <f>COUNT(Table3[[#This Row],[successfulService1]:[successfulService12]])</f>
        <v>7</v>
      </c>
      <c r="U75" s="7">
        <f>SUM(Table3[[#This Row],[successfulService1]:[successfulService12]])</f>
        <v>6</v>
      </c>
      <c r="V75" s="7">
        <f>SUM(Table3[[#This Row],[soldInAuction1]:[soldInAuction12]])</f>
        <v>6</v>
      </c>
      <c r="W75" s="7">
        <f>SUM(Table3[[#This Row],[foreignHorse1]:[foreignHorse12]])</f>
        <v>2</v>
      </c>
      <c r="X75" s="3">
        <v>25000</v>
      </c>
      <c r="Y75" s="3">
        <v>150000</v>
      </c>
      <c r="Z75" s="3">
        <v>175000</v>
      </c>
      <c r="AA75" s="3">
        <v>121739</v>
      </c>
      <c r="AB75" s="3">
        <v>56573</v>
      </c>
      <c r="AC75" s="3">
        <v>20316</v>
      </c>
      <c r="AD75" s="3">
        <v>0</v>
      </c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>
        <v>40000</v>
      </c>
      <c r="AW75" s="3">
        <v>175000</v>
      </c>
      <c r="AX75" s="3">
        <v>300000</v>
      </c>
      <c r="AY75" s="3">
        <v>121739</v>
      </c>
      <c r="AZ75" s="3">
        <v>56573</v>
      </c>
      <c r="BA75" s="3">
        <v>20316</v>
      </c>
      <c r="BB75" s="3"/>
      <c r="BC75" s="3"/>
      <c r="BD75" s="3"/>
      <c r="BE75" s="3"/>
      <c r="BF75" s="3"/>
      <c r="BG75" s="3"/>
      <c r="BH75" s="3">
        <v>-15000</v>
      </c>
      <c r="BI75" s="3">
        <v>-25000</v>
      </c>
      <c r="BJ75" s="3">
        <v>-125000</v>
      </c>
      <c r="BK75" s="3"/>
      <c r="BL75" s="3"/>
      <c r="BM75" s="3"/>
      <c r="BN75" s="3"/>
      <c r="BO75" s="3"/>
      <c r="BP75" s="3"/>
      <c r="BQ75" s="3"/>
      <c r="BR75" s="3"/>
      <c r="BS75" s="3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>
        <v>1</v>
      </c>
      <c r="CG75" s="1">
        <v>1</v>
      </c>
      <c r="CH75" s="1">
        <v>1</v>
      </c>
      <c r="CI75" s="1">
        <v>1</v>
      </c>
      <c r="CJ75" s="1">
        <v>1</v>
      </c>
      <c r="CK75" s="1">
        <v>1</v>
      </c>
      <c r="CL75" s="1">
        <v>0</v>
      </c>
      <c r="CM75" s="1"/>
      <c r="CN75" s="1"/>
      <c r="CO75" s="1"/>
      <c r="CP75" s="1"/>
      <c r="CQ75" s="1"/>
      <c r="CR75" s="1">
        <v>1</v>
      </c>
      <c r="CS75" s="1">
        <v>1</v>
      </c>
      <c r="CT75" s="1">
        <v>1</v>
      </c>
      <c r="CU75" s="1">
        <v>1</v>
      </c>
      <c r="CV75" s="1">
        <v>1</v>
      </c>
      <c r="CW75" s="1">
        <v>1</v>
      </c>
      <c r="CX75" s="1">
        <v>0</v>
      </c>
      <c r="CY75" s="1"/>
      <c r="CZ75" s="1"/>
      <c r="DA75" s="1"/>
      <c r="DB75" s="1"/>
      <c r="DC75" s="1"/>
      <c r="DD75" s="1">
        <v>0</v>
      </c>
      <c r="DE75" s="1">
        <v>0</v>
      </c>
      <c r="DF75" s="1">
        <v>0</v>
      </c>
      <c r="DG75" s="1">
        <v>1</v>
      </c>
      <c r="DH75" s="1">
        <v>1</v>
      </c>
      <c r="DI75" s="1">
        <v>0</v>
      </c>
      <c r="DJ75" s="1">
        <v>0</v>
      </c>
      <c r="DK75" s="1"/>
      <c r="DL75" s="1"/>
      <c r="DM75" s="1"/>
      <c r="DN75" s="1"/>
      <c r="DO75" s="1"/>
      <c r="DP75" s="1">
        <v>1</v>
      </c>
      <c r="DQ75" s="1">
        <v>2</v>
      </c>
      <c r="DR75" s="1">
        <v>3</v>
      </c>
      <c r="DS75" s="1">
        <v>4</v>
      </c>
      <c r="DT75" s="1">
        <v>6</v>
      </c>
      <c r="DU75" s="1">
        <v>7</v>
      </c>
      <c r="DV75" s="1">
        <v>8</v>
      </c>
      <c r="DW75" s="1"/>
      <c r="DX75" s="1"/>
      <c r="DY75" s="1"/>
      <c r="DZ75" s="1"/>
      <c r="EA75" s="1"/>
    </row>
    <row r="76" spans="1:131" x14ac:dyDescent="0.3">
      <c r="A76">
        <v>8701938</v>
      </c>
      <c r="B76" s="1" t="s">
        <v>327</v>
      </c>
      <c r="C76" s="1" t="s">
        <v>139</v>
      </c>
      <c r="D76" s="1">
        <v>2015</v>
      </c>
      <c r="E76" s="1">
        <v>1</v>
      </c>
      <c r="F76" s="10">
        <f>Table3[[#This Row],[First season 
with SF]]+Table3[[#This Row],['# Services 
provided]]</f>
        <v>2</v>
      </c>
      <c r="G76" s="26">
        <f>(Table3[[#This Row],[Total Income 
(Race + Price 
sold + Offs - maintenance cost)]]-Table3[[#This Row],[Price 
Bought]])/Table3[[#This Row],[Price 
Bought]]</f>
        <v>-0.13333333333333333</v>
      </c>
      <c r="H76" s="31">
        <f>Table3[[#This Row],[Race 
earnings]]+Table3[[#This Row],[Price 
Sold]]-Table3[[#This Row],[Maintenance cost]]+Table3[[#This Row],[Total 
profit (Income - cost)]]</f>
        <v>130000</v>
      </c>
      <c r="I76" s="3">
        <f>_xlfn.IFNA(VLOOKUP(Table3[[#This Row],[damId]],Sheet1!$A$2:$M$970,5, FALSE), VLOOKUP(Table3[[#This Row],[dam]],Sheet1!$B$2:$M$970,4, FALSE))</f>
        <v>0</v>
      </c>
      <c r="J76" s="3">
        <f>_xlfn.IFNA(VLOOKUP(Table3[[#This Row],[damId]],Sheet1!$A$2:$M$970,13, FALSE), VLOOKUP(Table3[[#This Row],[dam]],Sheet1!$B$2:$M$970,13, FALSE))</f>
        <v>30000</v>
      </c>
      <c r="K76" s="3">
        <f>_xlfn.IFNA(VLOOKUP(Table3[[#This Row],[damId]],Sheet1!$A$2:$M$970,11, FALSE), VLOOKUP(Table3[[#This Row],[dam]],Sheet1!$B$2:$M$970,11, FALSE))</f>
        <v>150000</v>
      </c>
      <c r="L76" s="3">
        <f>_xlfn.IFNA(VLOOKUP(Table3[[#This Row],[damId]],Sheet1!$A$2:$M$970,12, FALSE), VLOOKUP(Table3[[#This Row],[dam]],Sheet1!$B$2:$M$970,12, FALSE))</f>
        <v>180000</v>
      </c>
      <c r="M76" s="3">
        <f>_xlfn.IFNA(VLOOKUP(Table3[[#This Row],[damId]],Sheet1!$A$2:$T$970,20, FALSE), VLOOKUP(Table3[[#This Row],[dam]],Sheet1!$B$2:$T$970,20, FALSE))*Sheet1!$AD$3</f>
        <v>30000</v>
      </c>
      <c r="N76" s="3">
        <f>Table3[[#This Row],[Total 
income (Earnings + value - stud fee)]]-Table3[[#This Row],[Maintenance cost ]]</f>
        <v>-20000</v>
      </c>
      <c r="O76" s="3">
        <f>SUM(Table3[[#This Row],[income1]:[income12]])</f>
        <v>-20000</v>
      </c>
      <c r="P76" s="3">
        <f>_xlfn.IFNA(VLOOKUP(Table3[[#This Row],[damId]],Sheet1!$A$2:$Y$970,23, FALSE), VLOOKUP(Table3[[#This Row],[dam]],Sheet1!$B$2:$Y$970,23, FALSE))*Sheet1!$AD$3</f>
        <v>0</v>
      </c>
      <c r="Q76" s="3">
        <f>SUM(Table3[[#This Row],[earningsInRaces1]:[earningsInRaces12]])</f>
        <v>0</v>
      </c>
      <c r="R76" s="3">
        <f>SUM(Table3[[#This Row],[auctionPrice1]:[auctionPrice12]])</f>
        <v>0</v>
      </c>
      <c r="S76" s="3">
        <f>SUM(Table3[[#This Row],[studFeeUSD1]:[studFeeUSD12]])</f>
        <v>-20000</v>
      </c>
      <c r="T76" s="7">
        <f>COUNT(Table3[[#This Row],[successfulService1]:[successfulService12]])</f>
        <v>1</v>
      </c>
      <c r="U76" s="7">
        <f>SUM(Table3[[#This Row],[successfulService1]:[successfulService12]])</f>
        <v>0</v>
      </c>
      <c r="V76" s="7">
        <f>SUM(Table3[[#This Row],[soldInAuction1]:[soldInAuction12]])</f>
        <v>0</v>
      </c>
      <c r="W76" s="7">
        <f>SUM(Table3[[#This Row],[foreignHorse1]:[foreignHorse12]])</f>
        <v>0</v>
      </c>
      <c r="X76" s="3">
        <v>-20000</v>
      </c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>
        <v>-20000</v>
      </c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>
        <v>0</v>
      </c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>
        <v>0</v>
      </c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>
        <v>0</v>
      </c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>
        <v>1</v>
      </c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</row>
    <row r="77" spans="1:131" x14ac:dyDescent="0.3">
      <c r="A77">
        <v>8826018</v>
      </c>
      <c r="B77" s="1" t="s">
        <v>337</v>
      </c>
      <c r="C77" s="1" t="s">
        <v>139</v>
      </c>
      <c r="D77" s="1">
        <v>2015</v>
      </c>
      <c r="E77" s="1">
        <v>1</v>
      </c>
      <c r="F77" s="10">
        <f>Table3[[#This Row],[First season 
with SF]]+Table3[[#This Row],['# Services 
provided]]</f>
        <v>9</v>
      </c>
      <c r="G77" s="26">
        <f>(Table3[[#This Row],[Total Income 
(Race + Price 
sold + Offs - maintenance cost)]]-Table3[[#This Row],[Price 
Bought]])/Table3[[#This Row],[Price 
Bought]]</f>
        <v>1.6710957575757575</v>
      </c>
      <c r="H77" s="31">
        <f>Table3[[#This Row],[Race 
earnings]]+Table3[[#This Row],[Price 
Sold]]-Table3[[#This Row],[Maintenance cost]]+Table3[[#This Row],[Total 
profit (Income - cost)]]</f>
        <v>440730.8</v>
      </c>
      <c r="I77" s="3">
        <f>_xlfn.IFNA(VLOOKUP(Table3[[#This Row],[damId]],Sheet1!$A$2:$M$970,5, FALSE), VLOOKUP(Table3[[#This Row],[dam]],Sheet1!$B$2:$M$970,4, FALSE))</f>
        <v>0</v>
      </c>
      <c r="J77" s="3">
        <f>_xlfn.IFNA(VLOOKUP(Table3[[#This Row],[damId]],Sheet1!$A$2:$M$970,13, FALSE), VLOOKUP(Table3[[#This Row],[dam]],Sheet1!$B$2:$M$970,13, FALSE))</f>
        <v>-165000</v>
      </c>
      <c r="K77" s="3">
        <f>_xlfn.IFNA(VLOOKUP(Table3[[#This Row],[damId]],Sheet1!$A$2:$M$970,11, FALSE), VLOOKUP(Table3[[#This Row],[dam]],Sheet1!$B$2:$M$970,11, FALSE))</f>
        <v>165000</v>
      </c>
      <c r="L77" s="3">
        <f>_xlfn.IFNA(VLOOKUP(Table3[[#This Row],[damId]],Sheet1!$A$2:$M$970,12, FALSE), VLOOKUP(Table3[[#This Row],[dam]],Sheet1!$B$2:$M$970,12, FALSE))</f>
        <v>0</v>
      </c>
      <c r="M77" s="3">
        <f>_xlfn.IFNA(VLOOKUP(Table3[[#This Row],[damId]],Sheet1!$A$2:$T$970,20, FALSE), VLOOKUP(Table3[[#This Row],[dam]],Sheet1!$B$2:$T$970,20, FALSE))*Sheet1!$AD$3</f>
        <v>159082.20000000001</v>
      </c>
      <c r="N77" s="3">
        <f>Table3[[#This Row],[Total 
income (Earnings + value - stud fee)]]-Table3[[#This Row],[Maintenance cost ]]</f>
        <v>599813</v>
      </c>
      <c r="O77" s="3">
        <f>SUM(Table3[[#This Row],[income1]:[income12]])</f>
        <v>599813</v>
      </c>
      <c r="P77" s="3">
        <f>_xlfn.IFNA(VLOOKUP(Table3[[#This Row],[damId]],Sheet1!$A$2:$Y$970,23, FALSE), VLOOKUP(Table3[[#This Row],[dam]],Sheet1!$B$2:$Y$970,23, FALSE))*Sheet1!$AD$3</f>
        <v>0</v>
      </c>
      <c r="Q77" s="3">
        <f>SUM(Table3[[#This Row],[earningsInRaces1]:[earningsInRaces12]])</f>
        <v>0</v>
      </c>
      <c r="R77" s="3">
        <f>SUM(Table3[[#This Row],[auctionPrice1]:[auctionPrice12]])</f>
        <v>749813</v>
      </c>
      <c r="S77" s="3">
        <f>SUM(Table3[[#This Row],[studFeeUSD1]:[studFeeUSD12]])</f>
        <v>-150000</v>
      </c>
      <c r="T77" s="7">
        <f>COUNT(Table3[[#This Row],[successfulService1]:[successfulService12]])</f>
        <v>8</v>
      </c>
      <c r="U77" s="7">
        <f>SUM(Table3[[#This Row],[successfulService1]:[successfulService12]])</f>
        <v>7</v>
      </c>
      <c r="V77" s="7">
        <f>SUM(Table3[[#This Row],[soldInAuction1]:[soldInAuction12]])</f>
        <v>5</v>
      </c>
      <c r="W77" s="7">
        <f>SUM(Table3[[#This Row],[foreignHorse1]:[foreignHorse12]])</f>
        <v>5</v>
      </c>
      <c r="X77" s="3">
        <v>365830</v>
      </c>
      <c r="Y77" s="3">
        <v>0</v>
      </c>
      <c r="Z77" s="3">
        <v>0</v>
      </c>
      <c r="AA77" s="3">
        <v>182608</v>
      </c>
      <c r="AB77" s="3">
        <v>0</v>
      </c>
      <c r="AC77" s="3">
        <v>32524</v>
      </c>
      <c r="AD77" s="3">
        <v>16867</v>
      </c>
      <c r="AE77" s="3">
        <v>1984</v>
      </c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>
        <v>515830</v>
      </c>
      <c r="AW77" s="3"/>
      <c r="AX77" s="3"/>
      <c r="AY77" s="3">
        <v>182608</v>
      </c>
      <c r="AZ77" s="3"/>
      <c r="BA77" s="3">
        <v>32524</v>
      </c>
      <c r="BB77" s="3">
        <v>16867</v>
      </c>
      <c r="BC77" s="3">
        <v>1984</v>
      </c>
      <c r="BD77" s="3"/>
      <c r="BE77" s="3"/>
      <c r="BF77" s="3"/>
      <c r="BG77" s="3"/>
      <c r="BH77" s="3">
        <v>-150000</v>
      </c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>
        <v>1</v>
      </c>
      <c r="CG77" s="1">
        <v>1</v>
      </c>
      <c r="CH77" s="1">
        <v>1</v>
      </c>
      <c r="CI77" s="1">
        <v>1</v>
      </c>
      <c r="CJ77" s="1">
        <v>0</v>
      </c>
      <c r="CK77" s="1">
        <v>1</v>
      </c>
      <c r="CL77" s="1">
        <v>1</v>
      </c>
      <c r="CM77" s="1">
        <v>1</v>
      </c>
      <c r="CN77" s="1"/>
      <c r="CO77" s="1"/>
      <c r="CP77" s="1"/>
      <c r="CQ77" s="1"/>
      <c r="CR77" s="1">
        <v>1</v>
      </c>
      <c r="CS77" s="1">
        <v>0</v>
      </c>
      <c r="CT77" s="1">
        <v>0</v>
      </c>
      <c r="CU77" s="1">
        <v>1</v>
      </c>
      <c r="CV77" s="1">
        <v>0</v>
      </c>
      <c r="CW77" s="1">
        <v>1</v>
      </c>
      <c r="CX77" s="1">
        <v>1</v>
      </c>
      <c r="CY77" s="1">
        <v>1</v>
      </c>
      <c r="CZ77" s="1"/>
      <c r="DA77" s="1"/>
      <c r="DB77" s="1"/>
      <c r="DC77" s="1"/>
      <c r="DD77" s="1">
        <v>1</v>
      </c>
      <c r="DE77" s="1">
        <v>1</v>
      </c>
      <c r="DF77" s="1">
        <v>0</v>
      </c>
      <c r="DG77" s="1">
        <v>1</v>
      </c>
      <c r="DH77" s="1">
        <v>0</v>
      </c>
      <c r="DI77" s="1">
        <v>1</v>
      </c>
      <c r="DJ77" s="1">
        <v>1</v>
      </c>
      <c r="DK77" s="1">
        <v>0</v>
      </c>
      <c r="DL77" s="1"/>
      <c r="DM77" s="1"/>
      <c r="DN77" s="1"/>
      <c r="DO77" s="1"/>
      <c r="DP77" s="1">
        <v>1</v>
      </c>
      <c r="DQ77" s="1">
        <v>2</v>
      </c>
      <c r="DR77" s="1">
        <v>3</v>
      </c>
      <c r="DS77" s="1">
        <v>4</v>
      </c>
      <c r="DT77" s="1">
        <v>5</v>
      </c>
      <c r="DU77" s="1">
        <v>6</v>
      </c>
      <c r="DV77" s="1">
        <v>7</v>
      </c>
      <c r="DW77" s="1">
        <v>9</v>
      </c>
      <c r="DX77" s="1"/>
      <c r="DY77" s="1"/>
      <c r="DZ77" s="1"/>
      <c r="EA77" s="1"/>
    </row>
    <row r="78" spans="1:131" x14ac:dyDescent="0.3">
      <c r="A78">
        <v>8926093</v>
      </c>
      <c r="B78" s="1" t="s">
        <v>400</v>
      </c>
      <c r="C78" s="1" t="s">
        <v>24</v>
      </c>
      <c r="D78" s="1">
        <v>2015</v>
      </c>
      <c r="E78" s="1">
        <v>1</v>
      </c>
      <c r="F78" s="10">
        <f>Table3[[#This Row],[First season 
with SF]]+Table3[[#This Row],['# Services 
provided]]</f>
        <v>12</v>
      </c>
      <c r="G78" s="26">
        <f>(Table3[[#This Row],[Total Income 
(Race + Price 
sold + Offs - maintenance cost)]]-Table3[[#This Row],[Price 
Bought]])/Table3[[#This Row],[Price 
Bought]]</f>
        <v>-1.3824006517647061</v>
      </c>
      <c r="H78" s="31">
        <f>Table3[[#This Row],[Race 
earnings]]+Table3[[#This Row],[Price 
Sold]]-Table3[[#This Row],[Maintenance cost]]+Table3[[#This Row],[Total 
profit (Income - cost)]]</f>
        <v>-65008.110800000024</v>
      </c>
      <c r="I78" s="3">
        <f>_xlfn.IFNA(VLOOKUP(Table3[[#This Row],[damId]],Sheet1!$A$2:$M$970,5, FALSE), VLOOKUP(Table3[[#This Row],[dam]],Sheet1!$B$2:$M$970,4, FALSE))</f>
        <v>0</v>
      </c>
      <c r="J78" s="3">
        <f>_xlfn.IFNA(VLOOKUP(Table3[[#This Row],[damId]],Sheet1!$A$2:$M$970,13, FALSE), VLOOKUP(Table3[[#This Row],[dam]],Sheet1!$B$2:$M$970,13, FALSE))</f>
        <v>-170000</v>
      </c>
      <c r="K78" s="3">
        <f>_xlfn.IFNA(VLOOKUP(Table3[[#This Row],[damId]],Sheet1!$A$2:$M$970,11, FALSE), VLOOKUP(Table3[[#This Row],[dam]],Sheet1!$B$2:$M$970,11, FALSE))</f>
        <v>170000</v>
      </c>
      <c r="L78" s="3">
        <f>_xlfn.IFNA(VLOOKUP(Table3[[#This Row],[damId]],Sheet1!$A$2:$M$970,12, FALSE), VLOOKUP(Table3[[#This Row],[dam]],Sheet1!$B$2:$M$970,12, FALSE))</f>
        <v>0</v>
      </c>
      <c r="M78" s="3">
        <f>_xlfn.IFNA(VLOOKUP(Table3[[#This Row],[damId]],Sheet1!$A$2:$T$970,20, FALSE), VLOOKUP(Table3[[#This Row],[dam]],Sheet1!$B$2:$T$970,20, FALSE))*Sheet1!$AD$3</f>
        <v>154438.35</v>
      </c>
      <c r="N78" s="3">
        <f>Table3[[#This Row],[Total 
income (Earnings + value - stud fee)]]-Table3[[#This Row],[Maintenance cost ]]</f>
        <v>89430.239199999982</v>
      </c>
      <c r="O78" s="3">
        <f>SUM(Table3[[#This Row],[income1]:[income12]])</f>
        <v>142074.07419999997</v>
      </c>
      <c r="P78" s="3">
        <f>_xlfn.IFNA(VLOOKUP(Table3[[#This Row],[damId]],Sheet1!$A$2:$Y$970,23, FALSE), VLOOKUP(Table3[[#This Row],[dam]],Sheet1!$B$2:$Y$970,23, FALSE))*Sheet1!$AD$3</f>
        <v>52643.834999999999</v>
      </c>
      <c r="Q78" s="3">
        <f>SUM(Table3[[#This Row],[earningsInRaces1]:[earningsInRaces12]])</f>
        <v>0</v>
      </c>
      <c r="R78" s="3">
        <f>SUM(Table3[[#This Row],[auctionPrice1]:[auctionPrice12]])</f>
        <v>550000</v>
      </c>
      <c r="S78" s="3">
        <f>SUM(Table3[[#This Row],[studFeeUSD1]:[studFeeUSD12]])</f>
        <v>-407925.93</v>
      </c>
      <c r="T78" s="7">
        <f>COUNT(Table3[[#This Row],[successfulService1]:[successfulService12]])</f>
        <v>11</v>
      </c>
      <c r="U78" s="7">
        <f>SUM(Table3[[#This Row],[successfulService1]:[successfulService12]])</f>
        <v>8</v>
      </c>
      <c r="V78" s="7">
        <f>SUM(Table3[[#This Row],[soldInAuction1]:[soldInAuction12]])</f>
        <v>7</v>
      </c>
      <c r="W78" s="7">
        <f>SUM(Table3[[#This Row],[foreignHorse1]:[foreignHorse12]])</f>
        <v>0</v>
      </c>
      <c r="X78" s="3">
        <v>135000</v>
      </c>
      <c r="Y78" s="3">
        <v>-10000</v>
      </c>
      <c r="Z78" s="3">
        <v>75000</v>
      </c>
      <c r="AA78" s="3">
        <v>115000</v>
      </c>
      <c r="AB78" s="3">
        <v>-30000</v>
      </c>
      <c r="AC78" s="3">
        <v>-925.92579999999998</v>
      </c>
      <c r="AD78" s="3">
        <v>-70000</v>
      </c>
      <c r="AE78" s="3">
        <v>2500</v>
      </c>
      <c r="AF78" s="3">
        <v>5500</v>
      </c>
      <c r="AG78" s="3">
        <v>-20000</v>
      </c>
      <c r="AH78" s="3">
        <v>-60000</v>
      </c>
      <c r="AI78" s="3"/>
      <c r="AJ78" s="3">
        <v>0</v>
      </c>
      <c r="AK78" s="3"/>
      <c r="AL78" s="3">
        <v>0</v>
      </c>
      <c r="AM78" s="3">
        <v>0</v>
      </c>
      <c r="AN78" s="3">
        <v>0</v>
      </c>
      <c r="AO78" s="3"/>
      <c r="AP78" s="3"/>
      <c r="AQ78" s="3"/>
      <c r="AR78" s="3"/>
      <c r="AS78" s="3"/>
      <c r="AT78" s="3"/>
      <c r="AU78" s="3"/>
      <c r="AV78" s="3">
        <v>135000</v>
      </c>
      <c r="AW78" s="3"/>
      <c r="AX78" s="3">
        <v>150000</v>
      </c>
      <c r="AY78" s="3">
        <v>125000</v>
      </c>
      <c r="AZ78" s="3">
        <v>70000</v>
      </c>
      <c r="BA78" s="3">
        <v>32000</v>
      </c>
      <c r="BB78" s="3"/>
      <c r="BC78" s="3">
        <v>20000</v>
      </c>
      <c r="BD78" s="3">
        <v>18000</v>
      </c>
      <c r="BE78" s="3"/>
      <c r="BF78" s="3"/>
      <c r="BG78" s="3"/>
      <c r="BH78" s="3">
        <v>0</v>
      </c>
      <c r="BI78" s="3">
        <v>-10000</v>
      </c>
      <c r="BJ78" s="3">
        <v>-75000</v>
      </c>
      <c r="BK78" s="3">
        <v>-10000</v>
      </c>
      <c r="BL78" s="3">
        <v>-100000</v>
      </c>
      <c r="BM78" s="3">
        <v>-32925.93</v>
      </c>
      <c r="BN78" s="3">
        <v>-70000</v>
      </c>
      <c r="BO78" s="3">
        <v>-17500</v>
      </c>
      <c r="BP78" s="3">
        <v>-12500</v>
      </c>
      <c r="BQ78" s="3">
        <v>-20000</v>
      </c>
      <c r="BR78" s="3">
        <v>-60000</v>
      </c>
      <c r="BS78" s="3"/>
      <c r="BT78" s="1">
        <v>0</v>
      </c>
      <c r="BU78" s="1"/>
      <c r="BV78" s="1">
        <v>0</v>
      </c>
      <c r="BW78" s="1">
        <v>0</v>
      </c>
      <c r="BX78" s="1">
        <v>0</v>
      </c>
      <c r="BY78" s="1"/>
      <c r="BZ78" s="1"/>
      <c r="CA78" s="1"/>
      <c r="CB78" s="1"/>
      <c r="CC78" s="1"/>
      <c r="CD78" s="1"/>
      <c r="CE78" s="1"/>
      <c r="CF78" s="1">
        <v>1</v>
      </c>
      <c r="CG78" s="1">
        <v>0</v>
      </c>
      <c r="CH78" s="1">
        <v>1</v>
      </c>
      <c r="CI78" s="1">
        <v>1</v>
      </c>
      <c r="CJ78" s="1">
        <v>1</v>
      </c>
      <c r="CK78" s="1">
        <v>1</v>
      </c>
      <c r="CL78" s="1">
        <v>0</v>
      </c>
      <c r="CM78" s="1">
        <v>1</v>
      </c>
      <c r="CN78" s="1">
        <v>1</v>
      </c>
      <c r="CO78" s="1">
        <v>1</v>
      </c>
      <c r="CP78" s="1">
        <v>0</v>
      </c>
      <c r="CQ78" s="1"/>
      <c r="CR78" s="1">
        <v>1</v>
      </c>
      <c r="CS78" s="1">
        <v>0</v>
      </c>
      <c r="CT78" s="1">
        <v>1</v>
      </c>
      <c r="CU78" s="1">
        <v>1</v>
      </c>
      <c r="CV78" s="1">
        <v>1</v>
      </c>
      <c r="CW78" s="1">
        <v>1</v>
      </c>
      <c r="CX78" s="1">
        <v>0</v>
      </c>
      <c r="CY78" s="1">
        <v>1</v>
      </c>
      <c r="CZ78" s="1">
        <v>1</v>
      </c>
      <c r="DA78" s="1">
        <v>0</v>
      </c>
      <c r="DB78" s="1">
        <v>0</v>
      </c>
      <c r="DC78" s="1"/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/>
      <c r="DP78" s="1">
        <v>1</v>
      </c>
      <c r="DQ78" s="1">
        <v>2</v>
      </c>
      <c r="DR78" s="1">
        <v>3</v>
      </c>
      <c r="DS78" s="1">
        <v>4</v>
      </c>
      <c r="DT78" s="1">
        <v>5</v>
      </c>
      <c r="DU78" s="1">
        <v>6</v>
      </c>
      <c r="DV78" s="1">
        <v>7</v>
      </c>
      <c r="DW78" s="1">
        <v>8</v>
      </c>
      <c r="DX78" s="1">
        <v>9</v>
      </c>
      <c r="DY78" s="1">
        <v>10</v>
      </c>
      <c r="DZ78" s="1">
        <v>11</v>
      </c>
      <c r="EA78" s="1"/>
    </row>
    <row r="79" spans="1:131" x14ac:dyDescent="0.3">
      <c r="A79">
        <v>4010723</v>
      </c>
      <c r="B79" s="1" t="s">
        <v>32</v>
      </c>
      <c r="C79" s="1" t="s">
        <v>24</v>
      </c>
      <c r="D79" s="1">
        <v>2016</v>
      </c>
      <c r="E79" s="1">
        <v>16</v>
      </c>
      <c r="F79" s="10">
        <f>Table3[[#This Row],[First season 
with SF]]+Table3[[#This Row],['# Services 
provided]]</f>
        <v>19</v>
      </c>
      <c r="G79" s="26">
        <f>(Table3[[#This Row],[Total Income 
(Race + Price 
sold + Offs - maintenance cost)]]-Table3[[#This Row],[Price 
Bought]])/Table3[[#This Row],[Price 
Bought]]</f>
        <v>-0.19315049999999997</v>
      </c>
      <c r="H79" s="31">
        <f>Table3[[#This Row],[Race 
earnings]]+Table3[[#This Row],[Price 
Sold]]-Table3[[#This Row],[Maintenance cost]]+Table3[[#This Row],[Total 
profit (Income - cost)]]</f>
        <v>48410.97</v>
      </c>
      <c r="I79" s="3">
        <f>_xlfn.IFNA(VLOOKUP(Table3[[#This Row],[damId]],Sheet1!$A$2:$M$970,5, FALSE), VLOOKUP(Table3[[#This Row],[dam]],Sheet1!$B$2:$M$970,4, FALSE))</f>
        <v>0</v>
      </c>
      <c r="J79" s="3">
        <f>_xlfn.IFNA(VLOOKUP(Table3[[#This Row],[damId]],Sheet1!$A$2:$M$970,13, FALSE), VLOOKUP(Table3[[#This Row],[dam]],Sheet1!$B$2:$M$970,13, FALSE))</f>
        <v>-60000</v>
      </c>
      <c r="K79" s="3">
        <f>_xlfn.IFNA(VLOOKUP(Table3[[#This Row],[damId]],Sheet1!$A$2:$M$970,11, FALSE), VLOOKUP(Table3[[#This Row],[dam]],Sheet1!$B$2:$M$970,11, FALSE))</f>
        <v>60000</v>
      </c>
      <c r="L79" s="3">
        <f>_xlfn.IFNA(VLOOKUP(Table3[[#This Row],[damId]],Sheet1!$A$2:$M$970,12, FALSE), VLOOKUP(Table3[[#This Row],[dam]],Sheet1!$B$2:$M$970,12, FALSE))</f>
        <v>0</v>
      </c>
      <c r="M79" s="3">
        <f>_xlfn.IFNA(VLOOKUP(Table3[[#This Row],[damId]],Sheet1!$A$2:$T$970,20, FALSE), VLOOKUP(Table3[[#This Row],[dam]],Sheet1!$B$2:$T$970,20, FALSE))*Sheet1!$AD$3</f>
        <v>139315.065</v>
      </c>
      <c r="N79" s="3">
        <f>Table3[[#This Row],[Total 
income (Earnings + value - stud fee)]]-Table3[[#This Row],[Maintenance cost ]]</f>
        <v>187726.035</v>
      </c>
      <c r="O79" s="3">
        <f>SUM(Table3[[#This Row],[income1]:[income12]])</f>
        <v>210000</v>
      </c>
      <c r="P79" s="3">
        <f>_xlfn.IFNA(VLOOKUP(Table3[[#This Row],[damId]],Sheet1!$A$2:$Y$970,23, FALSE), VLOOKUP(Table3[[#This Row],[dam]],Sheet1!$B$2:$Y$970,23, FALSE))*Sheet1!$AD$3</f>
        <v>22273.965</v>
      </c>
      <c r="Q79" s="3">
        <f>SUM(Table3[[#This Row],[earningsInRaces1]:[earningsInRaces12]])</f>
        <v>0</v>
      </c>
      <c r="R79" s="3">
        <f>SUM(Table3[[#This Row],[auctionPrice1]:[auctionPrice12]])</f>
        <v>230000</v>
      </c>
      <c r="S79" s="3">
        <f>SUM(Table3[[#This Row],[studFeeUSD1]:[studFeeUSD12]])</f>
        <v>-20000</v>
      </c>
      <c r="T79" s="7">
        <f>COUNT(Table3[[#This Row],[successfulService1]:[successfulService12]])</f>
        <v>3</v>
      </c>
      <c r="U79" s="7">
        <f>SUM(Table3[[#This Row],[successfulService1]:[successfulService12]])</f>
        <v>1</v>
      </c>
      <c r="V79" s="7">
        <f>SUM(Table3[[#This Row],[soldInAuction1]:[soldInAuction12]])</f>
        <v>1</v>
      </c>
      <c r="W79" s="7">
        <f>SUM(Table3[[#This Row],[foreignHorse1]:[foreignHorse12]])</f>
        <v>0</v>
      </c>
      <c r="X79" s="3">
        <v>230000</v>
      </c>
      <c r="Y79" s="3">
        <v>-12500</v>
      </c>
      <c r="Z79" s="3">
        <v>-7500</v>
      </c>
      <c r="AA79" s="3"/>
      <c r="AB79" s="3"/>
      <c r="AC79" s="3"/>
      <c r="AD79" s="3"/>
      <c r="AE79" s="3"/>
      <c r="AF79" s="3"/>
      <c r="AG79" s="3"/>
      <c r="AH79" s="3"/>
      <c r="AI79" s="3"/>
      <c r="AJ79" s="3">
        <v>0</v>
      </c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>
        <v>230000</v>
      </c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>
        <v>0</v>
      </c>
      <c r="BI79" s="3">
        <v>-12500</v>
      </c>
      <c r="BJ79" s="3">
        <v>-7500</v>
      </c>
      <c r="BK79" s="3"/>
      <c r="BL79" s="3"/>
      <c r="BM79" s="3"/>
      <c r="BN79" s="3"/>
      <c r="BO79" s="3"/>
      <c r="BP79" s="3"/>
      <c r="BQ79" s="3"/>
      <c r="BR79" s="3"/>
      <c r="BS79" s="3"/>
      <c r="BT79" s="1">
        <v>0</v>
      </c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>
        <v>1</v>
      </c>
      <c r="CG79" s="1">
        <v>0</v>
      </c>
      <c r="CH79" s="1">
        <v>0</v>
      </c>
      <c r="CI79" s="1"/>
      <c r="CJ79" s="1"/>
      <c r="CK79" s="1"/>
      <c r="CL79" s="1"/>
      <c r="CM79" s="1"/>
      <c r="CN79" s="1"/>
      <c r="CO79" s="1"/>
      <c r="CP79" s="1"/>
      <c r="CQ79" s="1"/>
      <c r="CR79" s="1">
        <v>1</v>
      </c>
      <c r="CS79" s="1">
        <v>0</v>
      </c>
      <c r="CT79" s="1">
        <v>0</v>
      </c>
      <c r="CU79" s="1"/>
      <c r="CV79" s="1"/>
      <c r="CW79" s="1"/>
      <c r="CX79" s="1"/>
      <c r="CY79" s="1"/>
      <c r="CZ79" s="1"/>
      <c r="DA79" s="1"/>
      <c r="DB79" s="1"/>
      <c r="DC79" s="1"/>
      <c r="DD79" s="1">
        <v>0</v>
      </c>
      <c r="DE79" s="1">
        <v>0</v>
      </c>
      <c r="DF79" s="1">
        <v>0</v>
      </c>
      <c r="DG79" s="1"/>
      <c r="DH79" s="1"/>
      <c r="DI79" s="1"/>
      <c r="DJ79" s="1"/>
      <c r="DK79" s="1"/>
      <c r="DL79" s="1"/>
      <c r="DM79" s="1"/>
      <c r="DN79" s="1"/>
      <c r="DO79" s="1"/>
      <c r="DP79" s="1">
        <v>16</v>
      </c>
      <c r="DQ79" s="1">
        <v>17</v>
      </c>
      <c r="DR79" s="1">
        <v>18</v>
      </c>
      <c r="DS79" s="1"/>
      <c r="DT79" s="1"/>
      <c r="DU79" s="1"/>
      <c r="DV79" s="1"/>
      <c r="DW79" s="1"/>
      <c r="DX79" s="1"/>
      <c r="DY79" s="1"/>
      <c r="DZ79" s="1"/>
      <c r="EA79" s="1"/>
    </row>
    <row r="80" spans="1:131" x14ac:dyDescent="0.3">
      <c r="A80">
        <v>5309891</v>
      </c>
      <c r="B80" s="1" t="s">
        <v>71</v>
      </c>
      <c r="C80" s="1" t="s">
        <v>24</v>
      </c>
      <c r="D80" s="1">
        <v>2016</v>
      </c>
      <c r="E80" s="1">
        <v>10</v>
      </c>
      <c r="F80" s="10">
        <f>Table3[[#This Row],[First season 
with SF]]+Table3[[#This Row],['# Services 
provided]]</f>
        <v>16</v>
      </c>
      <c r="G80" s="26">
        <f>(Table3[[#This Row],[Total Income 
(Race + Price 
sold + Offs - maintenance cost)]]-Table3[[#This Row],[Price 
Bought]])/Table3[[#This Row],[Price 
Bought]]</f>
        <v>-3.4821917500000001</v>
      </c>
      <c r="H80" s="31">
        <f>Table3[[#This Row],[Race 
earnings]]+Table3[[#This Row],[Price 
Sold]]-Table3[[#This Row],[Maintenance cost]]+Table3[[#This Row],[Total 
profit (Income - cost)]]</f>
        <v>-148931.505</v>
      </c>
      <c r="I80" s="3">
        <f>_xlfn.IFNA(VLOOKUP(Table3[[#This Row],[damId]],Sheet1!$A$2:$M$970,5, FALSE), VLOOKUP(Table3[[#This Row],[dam]],Sheet1!$B$2:$M$970,4, FALSE))</f>
        <v>0</v>
      </c>
      <c r="J80" s="3">
        <f>_xlfn.IFNA(VLOOKUP(Table3[[#This Row],[damId]],Sheet1!$A$2:$M$970,13, FALSE), VLOOKUP(Table3[[#This Row],[dam]],Sheet1!$B$2:$M$970,13, FALSE))</f>
        <v>-60000</v>
      </c>
      <c r="K80" s="3">
        <f>_xlfn.IFNA(VLOOKUP(Table3[[#This Row],[damId]],Sheet1!$A$2:$M$970,11, FALSE), VLOOKUP(Table3[[#This Row],[dam]],Sheet1!$B$2:$M$970,11, FALSE))</f>
        <v>60000</v>
      </c>
      <c r="L80" s="3">
        <f>_xlfn.IFNA(VLOOKUP(Table3[[#This Row],[damId]],Sheet1!$A$2:$M$970,12, FALSE), VLOOKUP(Table3[[#This Row],[dam]],Sheet1!$B$2:$M$970,12, FALSE))</f>
        <v>0</v>
      </c>
      <c r="M80" s="3">
        <f>_xlfn.IFNA(VLOOKUP(Table3[[#This Row],[damId]],Sheet1!$A$2:$T$970,20, FALSE), VLOOKUP(Table3[[#This Row],[dam]],Sheet1!$B$2:$T$970,20, FALSE))*Sheet1!$AD$3</f>
        <v>139273.965</v>
      </c>
      <c r="N80" s="3">
        <f>Table3[[#This Row],[Total 
income (Earnings + value - stud fee)]]-Table3[[#This Row],[Maintenance cost ]]</f>
        <v>-9657.5399999999991</v>
      </c>
      <c r="O80" s="3">
        <f>SUM(Table3[[#This Row],[income1]:[income12]])</f>
        <v>6000</v>
      </c>
      <c r="P80" s="3">
        <f>_xlfn.IFNA(VLOOKUP(Table3[[#This Row],[damId]],Sheet1!$A$2:$Y$970,23, FALSE), VLOOKUP(Table3[[#This Row],[dam]],Sheet1!$B$2:$Y$970,23, FALSE))*Sheet1!$AD$3</f>
        <v>15657.539999999999</v>
      </c>
      <c r="Q80" s="3">
        <f>SUM(Table3[[#This Row],[earningsInRaces1]:[earningsInRaces12]])</f>
        <v>0</v>
      </c>
      <c r="R80" s="3">
        <f>SUM(Table3[[#This Row],[auctionPrice1]:[auctionPrice12]])</f>
        <v>76000</v>
      </c>
      <c r="S80" s="3">
        <f>SUM(Table3[[#This Row],[studFeeUSD1]:[studFeeUSD12]])</f>
        <v>-70000</v>
      </c>
      <c r="T80" s="7">
        <f>COUNT(Table3[[#This Row],[successfulService1]:[successfulService12]])</f>
        <v>6</v>
      </c>
      <c r="U80" s="7">
        <f>SUM(Table3[[#This Row],[successfulService1]:[successfulService12]])</f>
        <v>4</v>
      </c>
      <c r="V80" s="7">
        <f>SUM(Table3[[#This Row],[soldInAuction1]:[soldInAuction12]])</f>
        <v>3</v>
      </c>
      <c r="W80" s="7">
        <f>SUM(Table3[[#This Row],[foreignHorse1]:[foreignHorse12]])</f>
        <v>0</v>
      </c>
      <c r="X80" s="3">
        <v>65000</v>
      </c>
      <c r="Y80" s="3">
        <v>-15000</v>
      </c>
      <c r="Z80" s="3">
        <v>-12000</v>
      </c>
      <c r="AA80" s="3">
        <v>-5000</v>
      </c>
      <c r="AB80" s="3">
        <v>-17000</v>
      </c>
      <c r="AC80" s="3">
        <v>-10000</v>
      </c>
      <c r="AD80" s="3"/>
      <c r="AE80" s="3"/>
      <c r="AF80" s="3"/>
      <c r="AG80" s="3"/>
      <c r="AH80" s="3"/>
      <c r="AI80" s="3"/>
      <c r="AJ80" s="3">
        <v>0</v>
      </c>
      <c r="AK80" s="3"/>
      <c r="AL80" s="3"/>
      <c r="AM80" s="3"/>
      <c r="AN80" s="3">
        <v>0</v>
      </c>
      <c r="AO80" s="3"/>
      <c r="AP80" s="3"/>
      <c r="AQ80" s="3"/>
      <c r="AR80" s="3"/>
      <c r="AS80" s="3"/>
      <c r="AT80" s="3"/>
      <c r="AU80" s="3"/>
      <c r="AV80" s="3">
        <v>65000</v>
      </c>
      <c r="AW80" s="3"/>
      <c r="AX80" s="3">
        <v>3000</v>
      </c>
      <c r="AY80" s="3"/>
      <c r="AZ80" s="3">
        <v>8000</v>
      </c>
      <c r="BA80" s="3"/>
      <c r="BB80" s="3"/>
      <c r="BC80" s="3"/>
      <c r="BD80" s="3"/>
      <c r="BE80" s="3"/>
      <c r="BF80" s="3"/>
      <c r="BG80" s="3"/>
      <c r="BH80" s="3">
        <v>0</v>
      </c>
      <c r="BI80" s="3">
        <v>-15000</v>
      </c>
      <c r="BJ80" s="3">
        <v>-15000</v>
      </c>
      <c r="BK80" s="3">
        <v>-5000</v>
      </c>
      <c r="BL80" s="3">
        <v>-25000</v>
      </c>
      <c r="BM80" s="3">
        <v>-10000</v>
      </c>
      <c r="BN80" s="3"/>
      <c r="BO80" s="3"/>
      <c r="BP80" s="3"/>
      <c r="BQ80" s="3"/>
      <c r="BR80" s="3"/>
      <c r="BS80" s="3"/>
      <c r="BT80" s="1">
        <v>0</v>
      </c>
      <c r="BU80" s="1"/>
      <c r="BV80" s="1"/>
      <c r="BW80" s="1"/>
      <c r="BX80" s="1">
        <v>0</v>
      </c>
      <c r="BY80" s="1"/>
      <c r="BZ80" s="1"/>
      <c r="CA80" s="1"/>
      <c r="CB80" s="1"/>
      <c r="CC80" s="1"/>
      <c r="CD80" s="1"/>
      <c r="CE80" s="1"/>
      <c r="CF80" s="1">
        <v>1</v>
      </c>
      <c r="CG80" s="1">
        <v>0</v>
      </c>
      <c r="CH80" s="1">
        <v>1</v>
      </c>
      <c r="CI80" s="1">
        <v>1</v>
      </c>
      <c r="CJ80" s="1">
        <v>1</v>
      </c>
      <c r="CK80" s="1">
        <v>0</v>
      </c>
      <c r="CL80" s="1"/>
      <c r="CM80" s="1"/>
      <c r="CN80" s="1"/>
      <c r="CO80" s="1"/>
      <c r="CP80" s="1"/>
      <c r="CQ80" s="1"/>
      <c r="CR80" s="1">
        <v>1</v>
      </c>
      <c r="CS80" s="1">
        <v>0</v>
      </c>
      <c r="CT80" s="1">
        <v>1</v>
      </c>
      <c r="CU80" s="1">
        <v>0</v>
      </c>
      <c r="CV80" s="1">
        <v>1</v>
      </c>
      <c r="CW80" s="1">
        <v>0</v>
      </c>
      <c r="CX80" s="1"/>
      <c r="CY80" s="1"/>
      <c r="CZ80" s="1"/>
      <c r="DA80" s="1"/>
      <c r="DB80" s="1"/>
      <c r="DC80" s="1"/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/>
      <c r="DK80" s="1"/>
      <c r="DL80" s="1"/>
      <c r="DM80" s="1"/>
      <c r="DN80" s="1"/>
      <c r="DO80" s="1"/>
      <c r="DP80" s="1">
        <v>10</v>
      </c>
      <c r="DQ80" s="1">
        <v>11</v>
      </c>
      <c r="DR80" s="1">
        <v>12</v>
      </c>
      <c r="DS80" s="1">
        <v>13</v>
      </c>
      <c r="DT80" s="1">
        <v>14</v>
      </c>
      <c r="DU80" s="1">
        <v>15</v>
      </c>
      <c r="DV80" s="1"/>
      <c r="DW80" s="1"/>
      <c r="DX80" s="1"/>
      <c r="DY80" s="1"/>
      <c r="DZ80" s="1"/>
      <c r="EA80" s="1"/>
    </row>
    <row r="81" spans="1:131" x14ac:dyDescent="0.3">
      <c r="A81">
        <v>5334092</v>
      </c>
      <c r="B81" s="1" t="s">
        <v>75</v>
      </c>
      <c r="C81" s="1" t="s">
        <v>24</v>
      </c>
      <c r="D81" s="1">
        <v>2016</v>
      </c>
      <c r="E81" s="1">
        <v>12</v>
      </c>
      <c r="F81" s="10">
        <f>Table3[[#This Row],[First season 
with SF]]+Table3[[#This Row],['# Services 
provided]]</f>
        <v>17</v>
      </c>
      <c r="G81" s="26">
        <f>(Table3[[#This Row],[Total Income 
(Race + Price 
sold + Offs - maintenance cost)]]-Table3[[#This Row],[Price 
Bought]])/Table3[[#This Row],[Price 
Bought]]</f>
        <v>-0.91557999999999995</v>
      </c>
      <c r="H81" s="31">
        <f>Table3[[#This Row],[Race 
earnings]]+Table3[[#This Row],[Price 
Sold]]-Table3[[#This Row],[Maintenance cost]]+Table3[[#This Row],[Total 
profit (Income - cost)]]</f>
        <v>25326.000000000029</v>
      </c>
      <c r="I81" s="3">
        <f>_xlfn.IFNA(VLOOKUP(Table3[[#This Row],[damId]],Sheet1!$A$2:$M$970,5, FALSE), VLOOKUP(Table3[[#This Row],[dam]],Sheet1!$B$2:$M$970,4, FALSE))</f>
        <v>0</v>
      </c>
      <c r="J81" s="3">
        <f>_xlfn.IFNA(VLOOKUP(Table3[[#This Row],[damId]],Sheet1!$A$2:$M$970,13, FALSE), VLOOKUP(Table3[[#This Row],[dam]],Sheet1!$B$2:$M$970,13, FALSE))</f>
        <v>-300000</v>
      </c>
      <c r="K81" s="3">
        <f>_xlfn.IFNA(VLOOKUP(Table3[[#This Row],[damId]],Sheet1!$A$2:$M$970,11, FALSE), VLOOKUP(Table3[[#This Row],[dam]],Sheet1!$B$2:$M$970,11, FALSE))</f>
        <v>300000</v>
      </c>
      <c r="L81" s="3">
        <f>_xlfn.IFNA(VLOOKUP(Table3[[#This Row],[damId]],Sheet1!$A$2:$M$970,12, FALSE), VLOOKUP(Table3[[#This Row],[dam]],Sheet1!$B$2:$M$970,12, FALSE))</f>
        <v>0</v>
      </c>
      <c r="M81" s="3">
        <f>_xlfn.IFNA(VLOOKUP(Table3[[#This Row],[damId]],Sheet1!$A$2:$T$970,20, FALSE), VLOOKUP(Table3[[#This Row],[dam]],Sheet1!$B$2:$T$970,20, FALSE))*Sheet1!$AD$3</f>
        <v>139479.44999999998</v>
      </c>
      <c r="N81" s="3">
        <f>Table3[[#This Row],[Total 
income (Earnings + value - stud fee)]]-Table3[[#This Row],[Maintenance cost ]]</f>
        <v>164805.45000000001</v>
      </c>
      <c r="O81" s="3">
        <f>SUM(Table3[[#This Row],[income1]:[income12]])</f>
        <v>330915</v>
      </c>
      <c r="P81" s="3">
        <f>_xlfn.IFNA(VLOOKUP(Table3[[#This Row],[damId]],Sheet1!$A$2:$Y$970,23, FALSE), VLOOKUP(Table3[[#This Row],[dam]],Sheet1!$B$2:$Y$970,23, FALSE))*Sheet1!$AD$3</f>
        <v>166109.54999999999</v>
      </c>
      <c r="Q81" s="3">
        <f>SUM(Table3[[#This Row],[earningsInRaces1]:[earningsInRaces12]])</f>
        <v>85915</v>
      </c>
      <c r="R81" s="3">
        <f>SUM(Table3[[#This Row],[auctionPrice1]:[auctionPrice12]])</f>
        <v>435000</v>
      </c>
      <c r="S81" s="3">
        <f>SUM(Table3[[#This Row],[studFeeUSD1]:[studFeeUSD12]])</f>
        <v>-190000</v>
      </c>
      <c r="T81" s="7">
        <f>COUNT(Table3[[#This Row],[successfulService1]:[successfulService12]])</f>
        <v>5</v>
      </c>
      <c r="U81" s="7">
        <f>SUM(Table3[[#This Row],[successfulService1]:[successfulService12]])</f>
        <v>4</v>
      </c>
      <c r="V81" s="7">
        <f>SUM(Table3[[#This Row],[soldInAuction1]:[soldInAuction12]])</f>
        <v>3</v>
      </c>
      <c r="W81" s="7">
        <f>SUM(Table3[[#This Row],[foreignHorse1]:[foreignHorse12]])</f>
        <v>0</v>
      </c>
      <c r="X81" s="3">
        <v>85915</v>
      </c>
      <c r="Y81" s="3">
        <v>190000</v>
      </c>
      <c r="Z81" s="3">
        <v>140000</v>
      </c>
      <c r="AA81" s="3">
        <v>-110000</v>
      </c>
      <c r="AB81" s="3">
        <v>25000</v>
      </c>
      <c r="AC81" s="3"/>
      <c r="AD81" s="3"/>
      <c r="AE81" s="3"/>
      <c r="AF81" s="3"/>
      <c r="AG81" s="3"/>
      <c r="AH81" s="3"/>
      <c r="AI81" s="3"/>
      <c r="AJ81" s="3">
        <v>85915</v>
      </c>
      <c r="AK81" s="3">
        <v>0</v>
      </c>
      <c r="AL81" s="3">
        <v>0</v>
      </c>
      <c r="AM81" s="3"/>
      <c r="AN81" s="3">
        <v>0</v>
      </c>
      <c r="AO81" s="3"/>
      <c r="AP81" s="3"/>
      <c r="AQ81" s="3"/>
      <c r="AR81" s="3"/>
      <c r="AS81" s="3"/>
      <c r="AT81" s="3"/>
      <c r="AU81" s="3"/>
      <c r="AV81" s="3"/>
      <c r="AW81" s="3">
        <v>215000</v>
      </c>
      <c r="AX81" s="3">
        <v>170000</v>
      </c>
      <c r="AY81" s="3"/>
      <c r="AZ81" s="3">
        <v>50000</v>
      </c>
      <c r="BA81" s="3"/>
      <c r="BB81" s="3"/>
      <c r="BC81" s="3"/>
      <c r="BD81" s="3"/>
      <c r="BE81" s="3"/>
      <c r="BF81" s="3"/>
      <c r="BG81" s="3"/>
      <c r="BH81" s="3">
        <v>0</v>
      </c>
      <c r="BI81" s="3">
        <v>-25000</v>
      </c>
      <c r="BJ81" s="3">
        <v>-30000</v>
      </c>
      <c r="BK81" s="3">
        <v>-110000</v>
      </c>
      <c r="BL81" s="3">
        <v>-25000</v>
      </c>
      <c r="BM81" s="3"/>
      <c r="BN81" s="3"/>
      <c r="BO81" s="3"/>
      <c r="BP81" s="3"/>
      <c r="BQ81" s="3"/>
      <c r="BR81" s="3"/>
      <c r="BS81" s="3"/>
      <c r="BT81" s="1">
        <v>1</v>
      </c>
      <c r="BU81" s="1">
        <v>0</v>
      </c>
      <c r="BV81" s="1">
        <v>0</v>
      </c>
      <c r="BW81" s="1"/>
      <c r="BX81" s="1">
        <v>0</v>
      </c>
      <c r="BY81" s="1"/>
      <c r="BZ81" s="1"/>
      <c r="CA81" s="1"/>
      <c r="CB81" s="1"/>
      <c r="CC81" s="1"/>
      <c r="CD81" s="1"/>
      <c r="CE81" s="1"/>
      <c r="CF81" s="1">
        <v>1</v>
      </c>
      <c r="CG81" s="1">
        <v>1</v>
      </c>
      <c r="CH81" s="1">
        <v>1</v>
      </c>
      <c r="CI81" s="1">
        <v>0</v>
      </c>
      <c r="CJ81" s="1">
        <v>1</v>
      </c>
      <c r="CK81" s="1"/>
      <c r="CL81" s="1"/>
      <c r="CM81" s="1"/>
      <c r="CN81" s="1"/>
      <c r="CO81" s="1"/>
      <c r="CP81" s="1"/>
      <c r="CQ81" s="1"/>
      <c r="CR81" s="1">
        <v>0</v>
      </c>
      <c r="CS81" s="1">
        <v>1</v>
      </c>
      <c r="CT81" s="1">
        <v>1</v>
      </c>
      <c r="CU81" s="1">
        <v>0</v>
      </c>
      <c r="CV81" s="1">
        <v>1</v>
      </c>
      <c r="CW81" s="1"/>
      <c r="CX81" s="1"/>
      <c r="CY81" s="1"/>
      <c r="CZ81" s="1"/>
      <c r="DA81" s="1"/>
      <c r="DB81" s="1"/>
      <c r="DC81" s="1"/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/>
      <c r="DJ81" s="1"/>
      <c r="DK81" s="1"/>
      <c r="DL81" s="1"/>
      <c r="DM81" s="1"/>
      <c r="DN81" s="1"/>
      <c r="DO81" s="1"/>
      <c r="DP81" s="1">
        <v>12</v>
      </c>
      <c r="DQ81" s="1">
        <v>13</v>
      </c>
      <c r="DR81" s="1">
        <v>14</v>
      </c>
      <c r="DS81" s="1">
        <v>15</v>
      </c>
      <c r="DT81" s="1">
        <v>16</v>
      </c>
      <c r="DU81" s="1"/>
      <c r="DV81" s="1"/>
      <c r="DW81" s="1"/>
      <c r="DX81" s="1"/>
      <c r="DY81" s="1"/>
      <c r="DZ81" s="1"/>
      <c r="EA81" s="1"/>
    </row>
    <row r="82" spans="1:131" x14ac:dyDescent="0.3">
      <c r="A82">
        <v>5352492</v>
      </c>
      <c r="B82" s="1" t="s">
        <v>77</v>
      </c>
      <c r="C82" s="1" t="s">
        <v>24</v>
      </c>
      <c r="D82" s="1">
        <v>2016</v>
      </c>
      <c r="E82" s="1">
        <v>11</v>
      </c>
      <c r="F82" s="10">
        <f>Table3[[#This Row],[First season 
with SF]]+Table3[[#This Row],['# Services 
provided]]</f>
        <v>19</v>
      </c>
      <c r="G82" s="26">
        <f>(Table3[[#This Row],[Total Income 
(Race + Price 
sold + Offs - maintenance cost)]]-Table3[[#This Row],[Price 
Bought]])/Table3[[#This Row],[Price 
Bought]]</f>
        <v>-2.0515973999999999</v>
      </c>
      <c r="H82" s="31">
        <f>Table3[[#This Row],[Race 
earnings]]+Table3[[#This Row],[Price 
Sold]]-Table3[[#This Row],[Maintenance cost]]+Table3[[#This Row],[Total 
profit (Income - cost)]]</f>
        <v>-262899.34999999998</v>
      </c>
      <c r="I82" s="3">
        <f>_xlfn.IFNA(VLOOKUP(Table3[[#This Row],[damId]],Sheet1!$A$2:$M$970,5, FALSE), VLOOKUP(Table3[[#This Row],[dam]],Sheet1!$B$2:$M$970,4, FALSE))</f>
        <v>0</v>
      </c>
      <c r="J82" s="3">
        <f>_xlfn.IFNA(VLOOKUP(Table3[[#This Row],[damId]],Sheet1!$A$2:$M$970,13, FALSE), VLOOKUP(Table3[[#This Row],[dam]],Sheet1!$B$2:$M$970,13, FALSE))</f>
        <v>-250000</v>
      </c>
      <c r="K82" s="3">
        <f>_xlfn.IFNA(VLOOKUP(Table3[[#This Row],[damId]],Sheet1!$A$2:$M$970,11, FALSE), VLOOKUP(Table3[[#This Row],[dam]],Sheet1!$B$2:$M$970,11, FALSE))</f>
        <v>250000</v>
      </c>
      <c r="L82" s="3">
        <f>_xlfn.IFNA(VLOOKUP(Table3[[#This Row],[damId]],Sheet1!$A$2:$M$970,12, FALSE), VLOOKUP(Table3[[#This Row],[dam]],Sheet1!$B$2:$M$970,12, FALSE))</f>
        <v>0</v>
      </c>
      <c r="M82" s="3">
        <f>_xlfn.IFNA(VLOOKUP(Table3[[#This Row],[damId]],Sheet1!$A$2:$T$970,20, FALSE), VLOOKUP(Table3[[#This Row],[dam]],Sheet1!$B$2:$T$970,20, FALSE))*Sheet1!$AD$3</f>
        <v>139479.44999999998</v>
      </c>
      <c r="N82" s="3">
        <f>Table3[[#This Row],[Total 
income (Earnings + value - stud fee)]]-Table3[[#This Row],[Maintenance cost ]]</f>
        <v>-123419.9</v>
      </c>
      <c r="O82" s="3">
        <f>SUM(Table3[[#This Row],[income1]:[income12]])</f>
        <v>38950</v>
      </c>
      <c r="P82" s="3">
        <f>_xlfn.IFNA(VLOOKUP(Table3[[#This Row],[damId]],Sheet1!$A$2:$Y$970,23, FALSE), VLOOKUP(Table3[[#This Row],[dam]],Sheet1!$B$2:$Y$970,23, FALSE))*Sheet1!$AD$3</f>
        <v>162369.9</v>
      </c>
      <c r="Q82" s="3">
        <f>SUM(Table3[[#This Row],[earningsInRaces1]:[earningsInRaces12]])</f>
        <v>4450</v>
      </c>
      <c r="R82" s="3">
        <f>SUM(Table3[[#This Row],[auctionPrice1]:[auctionPrice12]])</f>
        <v>372000</v>
      </c>
      <c r="S82" s="3">
        <f>SUM(Table3[[#This Row],[studFeeUSD1]:[studFeeUSD12]])</f>
        <v>-337500</v>
      </c>
      <c r="T82" s="7">
        <f>COUNT(Table3[[#This Row],[successfulService1]:[successfulService12]])</f>
        <v>8</v>
      </c>
      <c r="U82" s="7">
        <f>SUM(Table3[[#This Row],[successfulService1]:[successfulService12]])</f>
        <v>4</v>
      </c>
      <c r="V82" s="7">
        <f>SUM(Table3[[#This Row],[soldInAuction1]:[soldInAuction12]])</f>
        <v>3</v>
      </c>
      <c r="W82" s="7">
        <f>SUM(Table3[[#This Row],[foreignHorse1]:[foreignHorse12]])</f>
        <v>0</v>
      </c>
      <c r="X82" s="3">
        <v>250000</v>
      </c>
      <c r="Y82" s="3">
        <v>-10550</v>
      </c>
      <c r="Z82" s="3">
        <v>-48000</v>
      </c>
      <c r="AA82" s="3">
        <v>-110000</v>
      </c>
      <c r="AB82" s="3">
        <v>-25000</v>
      </c>
      <c r="AC82" s="3">
        <v>35000</v>
      </c>
      <c r="AD82" s="3">
        <v>-17500</v>
      </c>
      <c r="AE82" s="3">
        <v>-35000</v>
      </c>
      <c r="AF82" s="3"/>
      <c r="AG82" s="3"/>
      <c r="AH82" s="3"/>
      <c r="AI82" s="3"/>
      <c r="AJ82" s="3">
        <v>0</v>
      </c>
      <c r="AK82" s="3">
        <v>4450</v>
      </c>
      <c r="AL82" s="3">
        <v>0</v>
      </c>
      <c r="AM82" s="3"/>
      <c r="AN82" s="3"/>
      <c r="AO82" s="3">
        <v>0</v>
      </c>
      <c r="AP82" s="3"/>
      <c r="AQ82" s="3"/>
      <c r="AR82" s="3"/>
      <c r="AS82" s="3"/>
      <c r="AT82" s="3"/>
      <c r="AU82" s="3"/>
      <c r="AV82" s="3">
        <v>250000</v>
      </c>
      <c r="AW82" s="3"/>
      <c r="AX82" s="3">
        <v>62000</v>
      </c>
      <c r="AY82" s="3"/>
      <c r="AZ82" s="3"/>
      <c r="BA82" s="3">
        <v>60000</v>
      </c>
      <c r="BB82" s="3"/>
      <c r="BC82" s="3"/>
      <c r="BD82" s="3"/>
      <c r="BE82" s="3"/>
      <c r="BF82" s="3"/>
      <c r="BG82" s="3"/>
      <c r="BH82" s="3">
        <v>0</v>
      </c>
      <c r="BI82" s="3">
        <v>-15000</v>
      </c>
      <c r="BJ82" s="3">
        <v>-110000</v>
      </c>
      <c r="BK82" s="3">
        <v>-110000</v>
      </c>
      <c r="BL82" s="3">
        <v>-25000</v>
      </c>
      <c r="BM82" s="3">
        <v>-25000</v>
      </c>
      <c r="BN82" s="3">
        <v>-17500</v>
      </c>
      <c r="BO82" s="3">
        <v>-35000</v>
      </c>
      <c r="BP82" s="3"/>
      <c r="BQ82" s="3"/>
      <c r="BR82" s="3"/>
      <c r="BS82" s="3"/>
      <c r="BT82" s="1">
        <v>0</v>
      </c>
      <c r="BU82" s="1">
        <v>1</v>
      </c>
      <c r="BV82" s="1">
        <v>0</v>
      </c>
      <c r="BW82" s="1"/>
      <c r="BX82" s="1"/>
      <c r="BY82" s="1">
        <v>0</v>
      </c>
      <c r="BZ82" s="1"/>
      <c r="CA82" s="1"/>
      <c r="CB82" s="1"/>
      <c r="CC82" s="1"/>
      <c r="CD82" s="1"/>
      <c r="CE82" s="1"/>
      <c r="CF82" s="1">
        <v>1</v>
      </c>
      <c r="CG82" s="1">
        <v>1</v>
      </c>
      <c r="CH82" s="1">
        <v>1</v>
      </c>
      <c r="CI82" s="1">
        <v>0</v>
      </c>
      <c r="CJ82" s="1">
        <v>0</v>
      </c>
      <c r="CK82" s="1">
        <v>1</v>
      </c>
      <c r="CL82" s="1">
        <v>0</v>
      </c>
      <c r="CM82" s="1">
        <v>0</v>
      </c>
      <c r="CN82" s="1"/>
      <c r="CO82" s="1"/>
      <c r="CP82" s="1"/>
      <c r="CQ82" s="1"/>
      <c r="CR82" s="1">
        <v>1</v>
      </c>
      <c r="CS82" s="1">
        <v>0</v>
      </c>
      <c r="CT82" s="1">
        <v>1</v>
      </c>
      <c r="CU82" s="1">
        <v>0</v>
      </c>
      <c r="CV82" s="1">
        <v>0</v>
      </c>
      <c r="CW82" s="1">
        <v>1</v>
      </c>
      <c r="CX82" s="1">
        <v>0</v>
      </c>
      <c r="CY82" s="1">
        <v>0</v>
      </c>
      <c r="CZ82" s="1"/>
      <c r="DA82" s="1"/>
      <c r="DB82" s="1"/>
      <c r="DC82" s="1"/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/>
      <c r="DM82" s="1"/>
      <c r="DN82" s="1"/>
      <c r="DO82" s="1"/>
      <c r="DP82" s="1">
        <v>11</v>
      </c>
      <c r="DQ82" s="1">
        <v>12</v>
      </c>
      <c r="DR82" s="1">
        <v>13</v>
      </c>
      <c r="DS82" s="1">
        <v>14</v>
      </c>
      <c r="DT82" s="1">
        <v>15</v>
      </c>
      <c r="DU82" s="1">
        <v>16</v>
      </c>
      <c r="DV82" s="1">
        <v>17</v>
      </c>
      <c r="DW82" s="1">
        <v>18</v>
      </c>
      <c r="DX82" s="1"/>
      <c r="DY82" s="1"/>
      <c r="DZ82" s="1"/>
      <c r="EA82" s="1"/>
    </row>
    <row r="83" spans="1:131" x14ac:dyDescent="0.3">
      <c r="A83">
        <v>5363855</v>
      </c>
      <c r="B83" s="1" t="s">
        <v>81</v>
      </c>
      <c r="C83" s="1" t="s">
        <v>24</v>
      </c>
      <c r="D83" s="1">
        <v>2016</v>
      </c>
      <c r="E83" s="1">
        <v>11</v>
      </c>
      <c r="F83" s="10">
        <f>Table3[[#This Row],[First season 
with SF]]+Table3[[#This Row],['# Services 
provided]]</f>
        <v>12</v>
      </c>
      <c r="G83" s="26">
        <f>(Table3[[#This Row],[Total Income 
(Race + Price 
sold + Offs - maintenance cost)]]-Table3[[#This Row],[Price 
Bought]])/Table3[[#This Row],[Price 
Bought]]</f>
        <v>-2.9925635714285712</v>
      </c>
      <c r="H83" s="31">
        <f>Table3[[#This Row],[Race 
earnings]]+Table3[[#This Row],[Price 
Sold]]-Table3[[#This Row],[Maintenance cost]]+Table3[[#This Row],[Total 
profit (Income - cost)]]</f>
        <v>-139479.44999999998</v>
      </c>
      <c r="I83" s="3">
        <f>_xlfn.IFNA(VLOOKUP(Table3[[#This Row],[damId]],Sheet1!$A$2:$M$970,5, FALSE), VLOOKUP(Table3[[#This Row],[dam]],Sheet1!$B$2:$M$970,4, FALSE))</f>
        <v>0</v>
      </c>
      <c r="J83" s="3">
        <f>_xlfn.IFNA(VLOOKUP(Table3[[#This Row],[damId]],Sheet1!$A$2:$M$970,13, FALSE), VLOOKUP(Table3[[#This Row],[dam]],Sheet1!$B$2:$M$970,13, FALSE))</f>
        <v>-70000</v>
      </c>
      <c r="K83" s="3">
        <f>_xlfn.IFNA(VLOOKUP(Table3[[#This Row],[damId]],Sheet1!$A$2:$M$970,11, FALSE), VLOOKUP(Table3[[#This Row],[dam]],Sheet1!$B$2:$M$970,11, FALSE))</f>
        <v>70000</v>
      </c>
      <c r="L83" s="3">
        <f>_xlfn.IFNA(VLOOKUP(Table3[[#This Row],[damId]],Sheet1!$A$2:$M$970,12, FALSE), VLOOKUP(Table3[[#This Row],[dam]],Sheet1!$B$2:$M$970,12, FALSE))</f>
        <v>0</v>
      </c>
      <c r="M83" s="3">
        <f>_xlfn.IFNA(VLOOKUP(Table3[[#This Row],[damId]],Sheet1!$A$2:$T$970,20, FALSE), VLOOKUP(Table3[[#This Row],[dam]],Sheet1!$B$2:$T$970,20, FALSE))*Sheet1!$AD$3</f>
        <v>139479.44999999998</v>
      </c>
      <c r="N83" s="3">
        <f>Table3[[#This Row],[Total 
income (Earnings + value - stud fee)]]-Table3[[#This Row],[Maintenance cost ]]</f>
        <v>0</v>
      </c>
      <c r="O83" s="3">
        <f>SUM(Table3[[#This Row],[income1]:[income12]])</f>
        <v>0</v>
      </c>
      <c r="P83" s="3">
        <f>_xlfn.IFNA(VLOOKUP(Table3[[#This Row],[damId]],Sheet1!$A$2:$Y$970,23, FALSE), VLOOKUP(Table3[[#This Row],[dam]],Sheet1!$B$2:$Y$970,23, FALSE))*Sheet1!$AD$3</f>
        <v>0</v>
      </c>
      <c r="Q83" s="3">
        <f>SUM(Table3[[#This Row],[earningsInRaces1]:[earningsInRaces12]])</f>
        <v>0</v>
      </c>
      <c r="R83" s="3">
        <f>SUM(Table3[[#This Row],[auctionPrice1]:[auctionPrice12]])</f>
        <v>0</v>
      </c>
      <c r="S83" s="3">
        <f>SUM(Table3[[#This Row],[studFeeUSD1]:[studFeeUSD12]])</f>
        <v>0</v>
      </c>
      <c r="T83" s="7">
        <f>COUNT(Table3[[#This Row],[successfulService1]:[successfulService12]])</f>
        <v>1</v>
      </c>
      <c r="U83" s="7">
        <f>SUM(Table3[[#This Row],[successfulService1]:[successfulService12]])</f>
        <v>0</v>
      </c>
      <c r="V83" s="7">
        <f>SUM(Table3[[#This Row],[soldInAuction1]:[soldInAuction12]])</f>
        <v>0</v>
      </c>
      <c r="W83" s="7">
        <f>SUM(Table3[[#This Row],[foreignHorse1]:[foreignHorse12]])</f>
        <v>0</v>
      </c>
      <c r="X83" s="3">
        <v>0</v>
      </c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>
        <v>0</v>
      </c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>
        <v>0</v>
      </c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>
        <v>0</v>
      </c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>
        <v>0</v>
      </c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>
        <v>11</v>
      </c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</row>
    <row r="84" spans="1:131" x14ac:dyDescent="0.3">
      <c r="A84">
        <v>6279674</v>
      </c>
      <c r="B84" s="1" t="s">
        <v>93</v>
      </c>
      <c r="C84" s="1" t="s">
        <v>24</v>
      </c>
      <c r="D84" s="1">
        <v>2016</v>
      </c>
      <c r="E84" s="1">
        <v>10</v>
      </c>
      <c r="F84" s="10">
        <f>Table3[[#This Row],[First season 
with SF]]+Table3[[#This Row],['# Services 
provided]]</f>
        <v>16</v>
      </c>
      <c r="G84" s="26">
        <f>(Table3[[#This Row],[Total Income 
(Race + Price 
sold + Offs - maintenance cost)]]-Table3[[#This Row],[Price 
Bought]])/Table3[[#This Row],[Price 
Bought]]</f>
        <v>-0.405120846875</v>
      </c>
      <c r="H84" s="31">
        <f>Table3[[#This Row],[Race 
earnings]]+Table3[[#This Row],[Price 
Sold]]-Table3[[#This Row],[Maintenance cost]]+Table3[[#This Row],[Total 
profit (Income - cost)]]</f>
        <v>190361.329</v>
      </c>
      <c r="I84" s="3">
        <f>_xlfn.IFNA(VLOOKUP(Table3[[#This Row],[damId]],Sheet1!$A$2:$M$970,5, FALSE), VLOOKUP(Table3[[#This Row],[dam]],Sheet1!$B$2:$M$970,4, FALSE))</f>
        <v>0</v>
      </c>
      <c r="J84" s="3">
        <f>_xlfn.IFNA(VLOOKUP(Table3[[#This Row],[damId]],Sheet1!$A$2:$M$970,13, FALSE), VLOOKUP(Table3[[#This Row],[dam]],Sheet1!$B$2:$M$970,13, FALSE))</f>
        <v>-320000</v>
      </c>
      <c r="K84" s="3">
        <f>_xlfn.IFNA(VLOOKUP(Table3[[#This Row],[damId]],Sheet1!$A$2:$M$970,11, FALSE), VLOOKUP(Table3[[#This Row],[dam]],Sheet1!$B$2:$M$970,11, FALSE))</f>
        <v>320000</v>
      </c>
      <c r="L84" s="3">
        <f>_xlfn.IFNA(VLOOKUP(Table3[[#This Row],[damId]],Sheet1!$A$2:$M$970,12, FALSE), VLOOKUP(Table3[[#This Row],[dam]],Sheet1!$B$2:$M$970,12, FALSE))</f>
        <v>0</v>
      </c>
      <c r="M84" s="3">
        <f>_xlfn.IFNA(VLOOKUP(Table3[[#This Row],[damId]],Sheet1!$A$2:$T$970,20, FALSE), VLOOKUP(Table3[[#This Row],[dam]],Sheet1!$B$2:$T$970,20, FALSE))*Sheet1!$AD$3</f>
        <v>139479.44999999998</v>
      </c>
      <c r="N84" s="3">
        <f>Table3[[#This Row],[Total 
income (Earnings + value - stud fee)]]-Table3[[#This Row],[Maintenance cost ]]</f>
        <v>329840.77899999998</v>
      </c>
      <c r="O84" s="3">
        <f>SUM(Table3[[#This Row],[income1]:[income12]])</f>
        <v>338635.3</v>
      </c>
      <c r="P84" s="3">
        <f>_xlfn.IFNA(VLOOKUP(Table3[[#This Row],[damId]],Sheet1!$A$2:$Y$970,23, FALSE), VLOOKUP(Table3[[#This Row],[dam]],Sheet1!$B$2:$Y$970,23, FALSE))*Sheet1!$AD$3</f>
        <v>8794.5209999999988</v>
      </c>
      <c r="Q84" s="3">
        <f>SUM(Table3[[#This Row],[earningsInRaces1]:[earningsInRaces12]])</f>
        <v>0</v>
      </c>
      <c r="R84" s="3">
        <f>SUM(Table3[[#This Row],[auctionPrice1]:[auctionPrice12]])</f>
        <v>674762</v>
      </c>
      <c r="S84" s="3">
        <f>SUM(Table3[[#This Row],[studFeeUSD1]:[studFeeUSD12]])</f>
        <v>-336126.69</v>
      </c>
      <c r="T84" s="7">
        <f>COUNT(Table3[[#This Row],[successfulService1]:[successfulService12]])</f>
        <v>6</v>
      </c>
      <c r="U84" s="7">
        <f>SUM(Table3[[#This Row],[successfulService1]:[successfulService12]])</f>
        <v>5</v>
      </c>
      <c r="V84" s="7">
        <f>SUM(Table3[[#This Row],[soldInAuction1]:[soldInAuction12]])</f>
        <v>4</v>
      </c>
      <c r="W84" s="7">
        <f>SUM(Table3[[#This Row],[foreignHorse1]:[foreignHorse12]])</f>
        <v>2</v>
      </c>
      <c r="X84" s="3">
        <v>360000</v>
      </c>
      <c r="Y84" s="3">
        <v>-68000</v>
      </c>
      <c r="Z84" s="3">
        <v>-110000</v>
      </c>
      <c r="AA84" s="3">
        <v>147310.70000000001</v>
      </c>
      <c r="AB84" s="3">
        <v>40377.230000000003</v>
      </c>
      <c r="AC84" s="3">
        <v>-31052.63</v>
      </c>
      <c r="AD84" s="3"/>
      <c r="AE84" s="3"/>
      <c r="AF84" s="3"/>
      <c r="AG84" s="3"/>
      <c r="AH84" s="3"/>
      <c r="AI84" s="3"/>
      <c r="AJ84" s="3">
        <v>0</v>
      </c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>
        <v>360000</v>
      </c>
      <c r="AW84" s="3">
        <v>32000</v>
      </c>
      <c r="AX84" s="3"/>
      <c r="AY84" s="3">
        <v>176607</v>
      </c>
      <c r="AZ84" s="3">
        <v>106155</v>
      </c>
      <c r="BA84" s="3"/>
      <c r="BB84" s="3"/>
      <c r="BC84" s="3"/>
      <c r="BD84" s="3"/>
      <c r="BE84" s="3"/>
      <c r="BF84" s="3"/>
      <c r="BG84" s="3"/>
      <c r="BH84" s="3">
        <v>0</v>
      </c>
      <c r="BI84" s="3">
        <v>-100000</v>
      </c>
      <c r="BJ84" s="3">
        <v>-110000</v>
      </c>
      <c r="BK84" s="3">
        <v>-29296.29</v>
      </c>
      <c r="BL84" s="3">
        <v>-65777.77</v>
      </c>
      <c r="BM84" s="3">
        <v>-31052.63</v>
      </c>
      <c r="BN84" s="3"/>
      <c r="BO84" s="3"/>
      <c r="BP84" s="3"/>
      <c r="BQ84" s="3"/>
      <c r="BR84" s="3"/>
      <c r="BS84" s="3"/>
      <c r="BT84" s="1">
        <v>0</v>
      </c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>
        <v>1</v>
      </c>
      <c r="CG84" s="1">
        <v>1</v>
      </c>
      <c r="CH84" s="1">
        <v>0</v>
      </c>
      <c r="CI84" s="1">
        <v>1</v>
      </c>
      <c r="CJ84" s="1">
        <v>1</v>
      </c>
      <c r="CK84" s="1">
        <v>1</v>
      </c>
      <c r="CL84" s="1"/>
      <c r="CM84" s="1"/>
      <c r="CN84" s="1"/>
      <c r="CO84" s="1"/>
      <c r="CP84" s="1"/>
      <c r="CQ84" s="1"/>
      <c r="CR84" s="1">
        <v>1</v>
      </c>
      <c r="CS84" s="1">
        <v>1</v>
      </c>
      <c r="CT84" s="1">
        <v>0</v>
      </c>
      <c r="CU84" s="1">
        <v>1</v>
      </c>
      <c r="CV84" s="1">
        <v>1</v>
      </c>
      <c r="CW84" s="1">
        <v>0</v>
      </c>
      <c r="CX84" s="1"/>
      <c r="CY84" s="1"/>
      <c r="CZ84" s="1"/>
      <c r="DA84" s="1"/>
      <c r="DB84" s="1"/>
      <c r="DC84" s="1"/>
      <c r="DD84" s="1">
        <v>0</v>
      </c>
      <c r="DE84" s="1">
        <v>0</v>
      </c>
      <c r="DF84" s="1">
        <v>0</v>
      </c>
      <c r="DG84" s="1">
        <v>0</v>
      </c>
      <c r="DH84" s="1">
        <v>1</v>
      </c>
      <c r="DI84" s="1">
        <v>1</v>
      </c>
      <c r="DJ84" s="1"/>
      <c r="DK84" s="1"/>
      <c r="DL84" s="1"/>
      <c r="DM84" s="1"/>
      <c r="DN84" s="1"/>
      <c r="DO84" s="1"/>
      <c r="DP84" s="1">
        <v>10</v>
      </c>
      <c r="DQ84" s="1">
        <v>11</v>
      </c>
      <c r="DR84" s="1">
        <v>12</v>
      </c>
      <c r="DS84" s="1">
        <v>13</v>
      </c>
      <c r="DT84" s="1">
        <v>14</v>
      </c>
      <c r="DU84" s="1">
        <v>15</v>
      </c>
      <c r="DV84" s="1"/>
      <c r="DW84" s="1"/>
      <c r="DX84" s="1"/>
      <c r="DY84" s="1"/>
      <c r="DZ84" s="1"/>
      <c r="EA84" s="1"/>
    </row>
    <row r="85" spans="1:131" x14ac:dyDescent="0.3">
      <c r="A85">
        <v>6397901</v>
      </c>
      <c r="B85" s="1" t="s">
        <v>95</v>
      </c>
      <c r="C85" s="1" t="s">
        <v>24</v>
      </c>
      <c r="D85" s="1">
        <v>2016</v>
      </c>
      <c r="E85" s="1">
        <v>11</v>
      </c>
      <c r="F85" s="10">
        <f>Table3[[#This Row],[First season 
with SF]]+Table3[[#This Row],['# Services 
provided]]</f>
        <v>17</v>
      </c>
      <c r="G85" s="26">
        <f>(Table3[[#This Row],[Total Income 
(Race + Price 
sold + Offs - maintenance cost)]]-Table3[[#This Row],[Price 
Bought]])/Table3[[#This Row],[Price 
Bought]]</f>
        <v>-1.337330091111111</v>
      </c>
      <c r="H85" s="31">
        <f>Table3[[#This Row],[Race 
earnings]]+Table3[[#This Row],[Price 
Sold]]-Table3[[#This Row],[Maintenance cost]]+Table3[[#This Row],[Total 
profit (Income - cost)]]</f>
        <v>-75899.270499999999</v>
      </c>
      <c r="I85" s="3">
        <f>_xlfn.IFNA(VLOOKUP(Table3[[#This Row],[damId]],Sheet1!$A$2:$M$970,5, FALSE), VLOOKUP(Table3[[#This Row],[dam]],Sheet1!$B$2:$M$970,4, FALSE))</f>
        <v>0</v>
      </c>
      <c r="J85" s="3">
        <f>_xlfn.IFNA(VLOOKUP(Table3[[#This Row],[damId]],Sheet1!$A$2:$M$970,13, FALSE), VLOOKUP(Table3[[#This Row],[dam]],Sheet1!$B$2:$M$970,13, FALSE))</f>
        <v>-225000</v>
      </c>
      <c r="K85" s="3">
        <f>_xlfn.IFNA(VLOOKUP(Table3[[#This Row],[damId]],Sheet1!$A$2:$M$970,11, FALSE), VLOOKUP(Table3[[#This Row],[dam]],Sheet1!$B$2:$M$970,11, FALSE))</f>
        <v>225000</v>
      </c>
      <c r="L85" s="3">
        <f>_xlfn.IFNA(VLOOKUP(Table3[[#This Row],[damId]],Sheet1!$A$2:$M$970,12, FALSE), VLOOKUP(Table3[[#This Row],[dam]],Sheet1!$B$2:$M$970,12, FALSE))</f>
        <v>0</v>
      </c>
      <c r="M85" s="3">
        <f>_xlfn.IFNA(VLOOKUP(Table3[[#This Row],[damId]],Sheet1!$A$2:$T$970,20, FALSE), VLOOKUP(Table3[[#This Row],[dam]],Sheet1!$B$2:$T$970,20, FALSE))*Sheet1!$AD$3</f>
        <v>139479.44999999998</v>
      </c>
      <c r="N85" s="3">
        <f>Table3[[#This Row],[Total 
income (Earnings + value - stud fee)]]-Table3[[#This Row],[Maintenance cost ]]</f>
        <v>63580.179499999984</v>
      </c>
      <c r="O85" s="3">
        <f>SUM(Table3[[#This Row],[income1]:[income12]])</f>
        <v>158100.72949999999</v>
      </c>
      <c r="P85" s="3">
        <f>_xlfn.IFNA(VLOOKUP(Table3[[#This Row],[damId]],Sheet1!$A$2:$Y$970,23, FALSE), VLOOKUP(Table3[[#This Row],[dam]],Sheet1!$B$2:$Y$970,23, FALSE))*Sheet1!$AD$3</f>
        <v>94520.55</v>
      </c>
      <c r="Q85" s="3">
        <f>SUM(Table3[[#This Row],[earningsInRaces1]:[earningsInRaces12]])</f>
        <v>0</v>
      </c>
      <c r="R85" s="3">
        <f>SUM(Table3[[#This Row],[auctionPrice1]:[auctionPrice12]])</f>
        <v>333909</v>
      </c>
      <c r="S85" s="3">
        <f>SUM(Table3[[#This Row],[studFeeUSD1]:[studFeeUSD12]])</f>
        <v>-175808.27</v>
      </c>
      <c r="T85" s="7">
        <f>COUNT(Table3[[#This Row],[successfulService1]:[successfulService12]])</f>
        <v>6</v>
      </c>
      <c r="U85" s="7">
        <f>SUM(Table3[[#This Row],[successfulService1]:[successfulService12]])</f>
        <v>4</v>
      </c>
      <c r="V85" s="7">
        <f>SUM(Table3[[#This Row],[soldInAuction1]:[soldInAuction12]])</f>
        <v>4</v>
      </c>
      <c r="W85" s="7">
        <f>SUM(Table3[[#This Row],[foreignHorse1]:[foreignHorse12]])</f>
        <v>1</v>
      </c>
      <c r="X85" s="3">
        <v>250000</v>
      </c>
      <c r="Y85" s="3">
        <v>30500</v>
      </c>
      <c r="Z85" s="3">
        <v>-25000</v>
      </c>
      <c r="AA85" s="3">
        <v>-72675</v>
      </c>
      <c r="AB85" s="3">
        <v>-25000</v>
      </c>
      <c r="AC85" s="3">
        <v>275.72949999999997</v>
      </c>
      <c r="AD85" s="3"/>
      <c r="AE85" s="3"/>
      <c r="AF85" s="3"/>
      <c r="AG85" s="3"/>
      <c r="AH85" s="3"/>
      <c r="AI85" s="3"/>
      <c r="AJ85" s="3">
        <v>0</v>
      </c>
      <c r="AK85" s="3">
        <v>0</v>
      </c>
      <c r="AL85" s="3"/>
      <c r="AM85" s="3">
        <v>0</v>
      </c>
      <c r="AN85" s="3"/>
      <c r="AO85" s="3"/>
      <c r="AP85" s="3"/>
      <c r="AQ85" s="3"/>
      <c r="AR85" s="3"/>
      <c r="AS85" s="3"/>
      <c r="AT85" s="3"/>
      <c r="AU85" s="3"/>
      <c r="AV85" s="3">
        <v>250000</v>
      </c>
      <c r="AW85" s="3">
        <v>43000</v>
      </c>
      <c r="AX85" s="3"/>
      <c r="AY85" s="3">
        <v>27325</v>
      </c>
      <c r="AZ85" s="3"/>
      <c r="BA85" s="3">
        <v>13584</v>
      </c>
      <c r="BB85" s="3"/>
      <c r="BC85" s="3"/>
      <c r="BD85" s="3"/>
      <c r="BE85" s="3"/>
      <c r="BF85" s="3"/>
      <c r="BG85" s="3"/>
      <c r="BH85" s="3">
        <v>0</v>
      </c>
      <c r="BI85" s="3">
        <v>-12500</v>
      </c>
      <c r="BJ85" s="3">
        <v>-25000</v>
      </c>
      <c r="BK85" s="3">
        <v>-100000</v>
      </c>
      <c r="BL85" s="3">
        <v>-25000</v>
      </c>
      <c r="BM85" s="3">
        <v>-13308.27</v>
      </c>
      <c r="BN85" s="3"/>
      <c r="BO85" s="3"/>
      <c r="BP85" s="3"/>
      <c r="BQ85" s="3"/>
      <c r="BR85" s="3"/>
      <c r="BS85" s="3"/>
      <c r="BT85" s="1">
        <v>0</v>
      </c>
      <c r="BU85" s="1">
        <v>0</v>
      </c>
      <c r="BV85" s="1"/>
      <c r="BW85" s="1">
        <v>0</v>
      </c>
      <c r="BX85" s="1"/>
      <c r="BY85" s="1"/>
      <c r="BZ85" s="1"/>
      <c r="CA85" s="1"/>
      <c r="CB85" s="1"/>
      <c r="CC85" s="1"/>
      <c r="CD85" s="1"/>
      <c r="CE85" s="1"/>
      <c r="CF85" s="1">
        <v>1</v>
      </c>
      <c r="CG85" s="1">
        <v>1</v>
      </c>
      <c r="CH85" s="1">
        <v>0</v>
      </c>
      <c r="CI85" s="1">
        <v>1</v>
      </c>
      <c r="CJ85" s="1">
        <v>0</v>
      </c>
      <c r="CK85" s="1">
        <v>1</v>
      </c>
      <c r="CL85" s="1"/>
      <c r="CM85" s="1"/>
      <c r="CN85" s="1"/>
      <c r="CO85" s="1"/>
      <c r="CP85" s="1"/>
      <c r="CQ85" s="1"/>
      <c r="CR85" s="1">
        <v>1</v>
      </c>
      <c r="CS85" s="1">
        <v>1</v>
      </c>
      <c r="CT85" s="1">
        <v>0</v>
      </c>
      <c r="CU85" s="1">
        <v>1</v>
      </c>
      <c r="CV85" s="1">
        <v>0</v>
      </c>
      <c r="CW85" s="1">
        <v>1</v>
      </c>
      <c r="CX85" s="1"/>
      <c r="CY85" s="1"/>
      <c r="CZ85" s="1"/>
      <c r="DA85" s="1"/>
      <c r="DB85" s="1"/>
      <c r="DC85" s="1"/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1</v>
      </c>
      <c r="DJ85" s="1"/>
      <c r="DK85" s="1"/>
      <c r="DL85" s="1"/>
      <c r="DM85" s="1"/>
      <c r="DN85" s="1"/>
      <c r="DO85" s="1"/>
      <c r="DP85" s="1">
        <v>11</v>
      </c>
      <c r="DQ85" s="1">
        <v>12</v>
      </c>
      <c r="DR85" s="1">
        <v>13</v>
      </c>
      <c r="DS85" s="1">
        <v>14</v>
      </c>
      <c r="DT85" s="1">
        <v>15</v>
      </c>
      <c r="DU85" s="1">
        <v>16</v>
      </c>
      <c r="DV85" s="1"/>
      <c r="DW85" s="1"/>
      <c r="DX85" s="1"/>
      <c r="DY85" s="1"/>
      <c r="DZ85" s="1"/>
      <c r="EA85" s="1"/>
    </row>
    <row r="86" spans="1:131" x14ac:dyDescent="0.3">
      <c r="A86">
        <v>6445269</v>
      </c>
      <c r="B86" s="1" t="s">
        <v>97</v>
      </c>
      <c r="C86" s="1" t="s">
        <v>24</v>
      </c>
      <c r="D86" s="1">
        <v>2016</v>
      </c>
      <c r="E86" s="1">
        <v>9</v>
      </c>
      <c r="F86" s="10">
        <f>Table3[[#This Row],[First season 
with SF]]+Table3[[#This Row],['# Services 
provided]]</f>
        <v>12</v>
      </c>
      <c r="G86" s="26">
        <f>(Table3[[#This Row],[Total Income 
(Race + Price 
sold + Offs - maintenance cost)]]-Table3[[#This Row],[Price 
Bought]])/Table3[[#This Row],[Price 
Bought]]</f>
        <v>-1.12226029</v>
      </c>
      <c r="H86" s="31">
        <f>Table3[[#This Row],[Race 
earnings]]+Table3[[#This Row],[Price 
Sold]]-Table3[[#This Row],[Maintenance cost]]+Table3[[#This Row],[Total 
profit (Income - cost)]]</f>
        <v>-12226.029000000002</v>
      </c>
      <c r="I86" s="3">
        <f>_xlfn.IFNA(VLOOKUP(Table3[[#This Row],[damId]],Sheet1!$A$2:$M$970,5, FALSE), VLOOKUP(Table3[[#This Row],[dam]],Sheet1!$B$2:$M$970,4, FALSE))</f>
        <v>0</v>
      </c>
      <c r="J86" s="3">
        <f>_xlfn.IFNA(VLOOKUP(Table3[[#This Row],[damId]],Sheet1!$A$2:$M$970,13, FALSE), VLOOKUP(Table3[[#This Row],[dam]],Sheet1!$B$2:$M$970,13, FALSE))</f>
        <v>-94000</v>
      </c>
      <c r="K86" s="3">
        <f>_xlfn.IFNA(VLOOKUP(Table3[[#This Row],[damId]],Sheet1!$A$2:$M$970,11, FALSE), VLOOKUP(Table3[[#This Row],[dam]],Sheet1!$B$2:$M$970,11, FALSE))</f>
        <v>100000</v>
      </c>
      <c r="L86" s="3">
        <f>_xlfn.IFNA(VLOOKUP(Table3[[#This Row],[damId]],Sheet1!$A$2:$M$970,12, FALSE), VLOOKUP(Table3[[#This Row],[dam]],Sheet1!$B$2:$M$970,12, FALSE))</f>
        <v>6000</v>
      </c>
      <c r="M86" s="3">
        <f>_xlfn.IFNA(VLOOKUP(Table3[[#This Row],[damId]],Sheet1!$A$2:$T$970,20, FALSE), VLOOKUP(Table3[[#This Row],[dam]],Sheet1!$B$2:$T$970,20, FALSE))*Sheet1!$AD$3</f>
        <v>45164.385000000002</v>
      </c>
      <c r="N86" s="3">
        <f>Table3[[#This Row],[Total 
income (Earnings + value - stud fee)]]-Table3[[#This Row],[Maintenance cost ]]</f>
        <v>26938.356</v>
      </c>
      <c r="O86" s="3">
        <f>SUM(Table3[[#This Row],[income1]:[income12]])</f>
        <v>37500</v>
      </c>
      <c r="P86" s="3">
        <f>_xlfn.IFNA(VLOOKUP(Table3[[#This Row],[damId]],Sheet1!$A$2:$Y$970,23, FALSE), VLOOKUP(Table3[[#This Row],[dam]],Sheet1!$B$2:$Y$970,23, FALSE))*Sheet1!$AD$3</f>
        <v>10561.644</v>
      </c>
      <c r="Q86" s="3">
        <f>SUM(Table3[[#This Row],[earningsInRaces1]:[earningsInRaces12]])</f>
        <v>0</v>
      </c>
      <c r="R86" s="3">
        <f>SUM(Table3[[#This Row],[auctionPrice1]:[auctionPrice12]])</f>
        <v>70000</v>
      </c>
      <c r="S86" s="3">
        <f>SUM(Table3[[#This Row],[studFeeUSD1]:[studFeeUSD12]])</f>
        <v>-32500</v>
      </c>
      <c r="T86" s="7">
        <f>COUNT(Table3[[#This Row],[successfulService1]:[successfulService12]])</f>
        <v>3</v>
      </c>
      <c r="U86" s="7">
        <f>SUM(Table3[[#This Row],[successfulService1]:[successfulService12]])</f>
        <v>2</v>
      </c>
      <c r="V86" s="7">
        <f>SUM(Table3[[#This Row],[soldInAuction1]:[soldInAuction12]])</f>
        <v>1</v>
      </c>
      <c r="W86" s="7">
        <f>SUM(Table3[[#This Row],[foreignHorse1]:[foreignHorse12]])</f>
        <v>0</v>
      </c>
      <c r="X86" s="3">
        <v>0</v>
      </c>
      <c r="Y86" s="3">
        <v>-12500</v>
      </c>
      <c r="Z86" s="3">
        <v>50000</v>
      </c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>
        <v>0</v>
      </c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>
        <v>70000</v>
      </c>
      <c r="AY86" s="3"/>
      <c r="AZ86" s="3"/>
      <c r="BA86" s="3"/>
      <c r="BB86" s="3"/>
      <c r="BC86" s="3"/>
      <c r="BD86" s="3"/>
      <c r="BE86" s="3"/>
      <c r="BF86" s="3"/>
      <c r="BG86" s="3"/>
      <c r="BH86" s="3">
        <v>0</v>
      </c>
      <c r="BI86" s="3">
        <v>-12500</v>
      </c>
      <c r="BJ86" s="3">
        <v>-20000</v>
      </c>
      <c r="BK86" s="3"/>
      <c r="BL86" s="3"/>
      <c r="BM86" s="3"/>
      <c r="BN86" s="3"/>
      <c r="BO86" s="3"/>
      <c r="BP86" s="3"/>
      <c r="BQ86" s="3"/>
      <c r="BR86" s="3"/>
      <c r="BS86" s="3"/>
      <c r="BT86" s="1"/>
      <c r="BU86" s="1"/>
      <c r="BV86" s="1">
        <v>0</v>
      </c>
      <c r="BW86" s="1"/>
      <c r="BX86" s="1"/>
      <c r="BY86" s="1"/>
      <c r="BZ86" s="1"/>
      <c r="CA86" s="1"/>
      <c r="CB86" s="1"/>
      <c r="CC86" s="1"/>
      <c r="CD86" s="1"/>
      <c r="CE86" s="1"/>
      <c r="CF86" s="1">
        <v>1</v>
      </c>
      <c r="CG86" s="1">
        <v>0</v>
      </c>
      <c r="CH86" s="1">
        <v>1</v>
      </c>
      <c r="CI86" s="1"/>
      <c r="CJ86" s="1"/>
      <c r="CK86" s="1"/>
      <c r="CL86" s="1"/>
      <c r="CM86" s="1"/>
      <c r="CN86" s="1"/>
      <c r="CO86" s="1"/>
      <c r="CP86" s="1"/>
      <c r="CQ86" s="1"/>
      <c r="CR86" s="1">
        <v>0</v>
      </c>
      <c r="CS86" s="1">
        <v>0</v>
      </c>
      <c r="CT86" s="1">
        <v>1</v>
      </c>
      <c r="CU86" s="1"/>
      <c r="CV86" s="1"/>
      <c r="CW86" s="1"/>
      <c r="CX86" s="1"/>
      <c r="CY86" s="1"/>
      <c r="CZ86" s="1"/>
      <c r="DA86" s="1"/>
      <c r="DB86" s="1"/>
      <c r="DC86" s="1"/>
      <c r="DD86" s="1">
        <v>0</v>
      </c>
      <c r="DE86" s="1">
        <v>0</v>
      </c>
      <c r="DF86" s="1">
        <v>0</v>
      </c>
      <c r="DG86" s="1"/>
      <c r="DH86" s="1"/>
      <c r="DI86" s="1"/>
      <c r="DJ86" s="1"/>
      <c r="DK86" s="1"/>
      <c r="DL86" s="1"/>
      <c r="DM86" s="1"/>
      <c r="DN86" s="1"/>
      <c r="DO86" s="1"/>
      <c r="DP86" s="1">
        <v>9</v>
      </c>
      <c r="DQ86" s="1">
        <v>10</v>
      </c>
      <c r="DR86" s="1">
        <v>11</v>
      </c>
      <c r="DS86" s="1"/>
      <c r="DT86" s="1"/>
      <c r="DU86" s="1"/>
      <c r="DV86" s="1"/>
      <c r="DW86" s="1"/>
      <c r="DX86" s="1"/>
      <c r="DY86" s="1"/>
      <c r="DZ86" s="1"/>
      <c r="EA86" s="1"/>
    </row>
    <row r="87" spans="1:131" x14ac:dyDescent="0.3">
      <c r="A87">
        <v>6489834</v>
      </c>
      <c r="B87" s="1" t="s">
        <v>101</v>
      </c>
      <c r="C87" s="1" t="s">
        <v>24</v>
      </c>
      <c r="D87" s="1">
        <v>2016</v>
      </c>
      <c r="E87" s="1">
        <v>10</v>
      </c>
      <c r="F87" s="10">
        <f>Table3[[#This Row],[First season 
with SF]]+Table3[[#This Row],['# Services 
provided]]</f>
        <v>20</v>
      </c>
      <c r="G87" s="26">
        <f>(Table3[[#This Row],[Total Income 
(Race + Price 
sold + Offs - maintenance cost)]]-Table3[[#This Row],[Price 
Bought]])/Table3[[#This Row],[Price 
Bought]]</f>
        <v>-2.00897265</v>
      </c>
      <c r="H87" s="31">
        <f>Table3[[#This Row],[Race 
earnings]]+Table3[[#This Row],[Price 
Sold]]-Table3[[#This Row],[Maintenance cost]]+Table3[[#This Row],[Total 
profit (Income - cost)]]</f>
        <v>-100897.26500000001</v>
      </c>
      <c r="I87" s="3">
        <f>_xlfn.IFNA(VLOOKUP(Table3[[#This Row],[damId]],Sheet1!$A$2:$M$970,5, FALSE), VLOOKUP(Table3[[#This Row],[dam]],Sheet1!$B$2:$M$970,4, FALSE))</f>
        <v>0</v>
      </c>
      <c r="J87" s="3">
        <f>_xlfn.IFNA(VLOOKUP(Table3[[#This Row],[damId]],Sheet1!$A$2:$M$970,13, FALSE), VLOOKUP(Table3[[#This Row],[dam]],Sheet1!$B$2:$M$970,13, FALSE))</f>
        <v>-100000</v>
      </c>
      <c r="K87" s="3">
        <f>_xlfn.IFNA(VLOOKUP(Table3[[#This Row],[damId]],Sheet1!$A$2:$M$970,11, FALSE), VLOOKUP(Table3[[#This Row],[dam]],Sheet1!$B$2:$M$970,11, FALSE))</f>
        <v>100000</v>
      </c>
      <c r="L87" s="3">
        <f>_xlfn.IFNA(VLOOKUP(Table3[[#This Row],[damId]],Sheet1!$A$2:$M$970,12, FALSE), VLOOKUP(Table3[[#This Row],[dam]],Sheet1!$B$2:$M$970,12, FALSE))</f>
        <v>0</v>
      </c>
      <c r="M87" s="3">
        <f>_xlfn.IFNA(VLOOKUP(Table3[[#This Row],[damId]],Sheet1!$A$2:$T$970,20, FALSE), VLOOKUP(Table3[[#This Row],[dam]],Sheet1!$B$2:$T$970,20, FALSE))*Sheet1!$AD$3</f>
        <v>139520.55000000002</v>
      </c>
      <c r="N87" s="3">
        <f>Table3[[#This Row],[Total 
income (Earnings + value - stud fee)]]-Table3[[#This Row],[Maintenance cost ]]</f>
        <v>38623.284999999996</v>
      </c>
      <c r="O87" s="3">
        <f>SUM(Table3[[#This Row],[income1]:[income12]])</f>
        <v>86500</v>
      </c>
      <c r="P87" s="3">
        <f>_xlfn.IFNA(VLOOKUP(Table3[[#This Row],[damId]],Sheet1!$A$2:$Y$970,23, FALSE), VLOOKUP(Table3[[#This Row],[dam]],Sheet1!$B$2:$Y$970,23, FALSE))*Sheet1!$AD$3</f>
        <v>47876.715000000004</v>
      </c>
      <c r="Q87" s="3">
        <f>SUM(Table3[[#This Row],[earningsInRaces1]:[earningsInRaces12]])</f>
        <v>0</v>
      </c>
      <c r="R87" s="3">
        <f>SUM(Table3[[#This Row],[auctionPrice1]:[auctionPrice12]])</f>
        <v>349000</v>
      </c>
      <c r="S87" s="3">
        <f>SUM(Table3[[#This Row],[studFeeUSD1]:[studFeeUSD12]])</f>
        <v>-262500</v>
      </c>
      <c r="T87" s="7">
        <f>COUNT(Table3[[#This Row],[successfulService1]:[successfulService12]])</f>
        <v>10</v>
      </c>
      <c r="U87" s="7">
        <f>SUM(Table3[[#This Row],[successfulService1]:[successfulService12]])</f>
        <v>7</v>
      </c>
      <c r="V87" s="7">
        <f>SUM(Table3[[#This Row],[soldInAuction1]:[soldInAuction12]])</f>
        <v>5</v>
      </c>
      <c r="W87" s="7">
        <f>SUM(Table3[[#This Row],[foreignHorse1]:[foreignHorse12]])</f>
        <v>0</v>
      </c>
      <c r="X87" s="3">
        <v>0</v>
      </c>
      <c r="Y87" s="3">
        <v>127500</v>
      </c>
      <c r="Z87" s="3">
        <v>125000</v>
      </c>
      <c r="AA87" s="3">
        <v>-20000</v>
      </c>
      <c r="AB87" s="3">
        <v>-12500</v>
      </c>
      <c r="AC87" s="3">
        <v>30000</v>
      </c>
      <c r="AD87" s="3">
        <v>-13500</v>
      </c>
      <c r="AE87" s="3">
        <v>-35000</v>
      </c>
      <c r="AF87" s="3">
        <v>-15000</v>
      </c>
      <c r="AG87" s="3">
        <v>-100000</v>
      </c>
      <c r="AH87" s="3"/>
      <c r="AI87" s="3"/>
      <c r="AJ87" s="3"/>
      <c r="AK87" s="3">
        <v>0</v>
      </c>
      <c r="AL87" s="3">
        <v>0</v>
      </c>
      <c r="AM87" s="3"/>
      <c r="AN87" s="3"/>
      <c r="AO87" s="3">
        <v>0</v>
      </c>
      <c r="AP87" s="3">
        <v>0</v>
      </c>
      <c r="AQ87" s="3"/>
      <c r="AR87" s="3"/>
      <c r="AS87" s="3"/>
      <c r="AT87" s="3"/>
      <c r="AU87" s="3"/>
      <c r="AV87" s="3"/>
      <c r="AW87" s="3">
        <v>140000</v>
      </c>
      <c r="AX87" s="3">
        <v>145000</v>
      </c>
      <c r="AY87" s="3"/>
      <c r="AZ87" s="3"/>
      <c r="BA87" s="3">
        <v>50000</v>
      </c>
      <c r="BB87" s="3">
        <v>4000</v>
      </c>
      <c r="BC87" s="3"/>
      <c r="BD87" s="3">
        <v>10000</v>
      </c>
      <c r="BE87" s="3"/>
      <c r="BF87" s="3"/>
      <c r="BG87" s="3"/>
      <c r="BH87" s="3">
        <v>0</v>
      </c>
      <c r="BI87" s="3">
        <v>-12500</v>
      </c>
      <c r="BJ87" s="3">
        <v>-20000</v>
      </c>
      <c r="BK87" s="3">
        <v>-20000</v>
      </c>
      <c r="BL87" s="3">
        <v>-12500</v>
      </c>
      <c r="BM87" s="3">
        <v>-20000</v>
      </c>
      <c r="BN87" s="3">
        <v>-17500</v>
      </c>
      <c r="BO87" s="3">
        <v>-35000</v>
      </c>
      <c r="BP87" s="3">
        <v>-25000</v>
      </c>
      <c r="BQ87" s="3">
        <v>-100000</v>
      </c>
      <c r="BR87" s="3"/>
      <c r="BS87" s="3"/>
      <c r="BT87" s="1"/>
      <c r="BU87" s="1">
        <v>0</v>
      </c>
      <c r="BV87" s="1">
        <v>0</v>
      </c>
      <c r="BW87" s="1"/>
      <c r="BX87" s="1"/>
      <c r="BY87" s="1">
        <v>0</v>
      </c>
      <c r="BZ87" s="1">
        <v>0</v>
      </c>
      <c r="CA87" s="1"/>
      <c r="CB87" s="1"/>
      <c r="CC87" s="1"/>
      <c r="CD87" s="1"/>
      <c r="CE87" s="1"/>
      <c r="CF87" s="1">
        <v>1</v>
      </c>
      <c r="CG87" s="1">
        <v>1</v>
      </c>
      <c r="CH87" s="1">
        <v>1</v>
      </c>
      <c r="CI87" s="1">
        <v>0</v>
      </c>
      <c r="CJ87" s="1">
        <v>1</v>
      </c>
      <c r="CK87" s="1">
        <v>1</v>
      </c>
      <c r="CL87" s="1">
        <v>1</v>
      </c>
      <c r="CM87" s="1">
        <v>0</v>
      </c>
      <c r="CN87" s="1">
        <v>1</v>
      </c>
      <c r="CO87" s="1">
        <v>0</v>
      </c>
      <c r="CP87" s="1"/>
      <c r="CQ87" s="1"/>
      <c r="CR87" s="1">
        <v>0</v>
      </c>
      <c r="CS87" s="1">
        <v>1</v>
      </c>
      <c r="CT87" s="1">
        <v>1</v>
      </c>
      <c r="CU87" s="1">
        <v>0</v>
      </c>
      <c r="CV87" s="1">
        <v>0</v>
      </c>
      <c r="CW87" s="1">
        <v>1</v>
      </c>
      <c r="CX87" s="1">
        <v>1</v>
      </c>
      <c r="CY87" s="1">
        <v>0</v>
      </c>
      <c r="CZ87" s="1">
        <v>1</v>
      </c>
      <c r="DA87" s="1">
        <v>0</v>
      </c>
      <c r="DB87" s="1"/>
      <c r="DC87" s="1"/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/>
      <c r="DO87" s="1"/>
      <c r="DP87" s="1">
        <v>10</v>
      </c>
      <c r="DQ87" s="1">
        <v>11</v>
      </c>
      <c r="DR87" s="1">
        <v>12</v>
      </c>
      <c r="DS87" s="1">
        <v>13</v>
      </c>
      <c r="DT87" s="1">
        <v>14</v>
      </c>
      <c r="DU87" s="1">
        <v>15</v>
      </c>
      <c r="DV87" s="1">
        <v>16</v>
      </c>
      <c r="DW87" s="1">
        <v>17</v>
      </c>
      <c r="DX87" s="1">
        <v>18</v>
      </c>
      <c r="DY87" s="1">
        <v>19</v>
      </c>
      <c r="DZ87" s="1"/>
      <c r="EA87" s="1"/>
    </row>
    <row r="88" spans="1:131" x14ac:dyDescent="0.3">
      <c r="A88">
        <v>6513217</v>
      </c>
      <c r="B88" s="1" t="s">
        <v>103</v>
      </c>
      <c r="C88" s="1" t="s">
        <v>24</v>
      </c>
      <c r="D88" s="1">
        <v>2016</v>
      </c>
      <c r="E88" s="1">
        <v>10</v>
      </c>
      <c r="F88" s="10">
        <f>Table3[[#This Row],[First season 
with SF]]+Table3[[#This Row],['# Services 
provided]]</f>
        <v>11</v>
      </c>
      <c r="G88" s="26">
        <f>(Table3[[#This Row],[Total Income 
(Race + Price 
sold + Offs - maintenance cost)]]-Table3[[#This Row],[Price 
Bought]])/Table3[[#This Row],[Price 
Bought]]</f>
        <v>-0.43684210526315792</v>
      </c>
      <c r="H88" s="31">
        <f>Table3[[#This Row],[Race 
earnings]]+Table3[[#This Row],[Price 
Sold]]-Table3[[#This Row],[Maintenance cost]]+Table3[[#This Row],[Total 
profit (Income - cost)]]</f>
        <v>535000</v>
      </c>
      <c r="I88" s="3">
        <f>_xlfn.IFNA(VLOOKUP(Table3[[#This Row],[damId]],Sheet1!$A$2:$M$970,5, FALSE), VLOOKUP(Table3[[#This Row],[dam]],Sheet1!$B$2:$M$970,4, FALSE))</f>
        <v>0</v>
      </c>
      <c r="J88" s="3">
        <f>_xlfn.IFNA(VLOOKUP(Table3[[#This Row],[damId]],Sheet1!$A$2:$M$970,13, FALSE), VLOOKUP(Table3[[#This Row],[dam]],Sheet1!$B$2:$M$970,13, FALSE))</f>
        <v>-950000</v>
      </c>
      <c r="K88" s="3">
        <f>_xlfn.IFNA(VLOOKUP(Table3[[#This Row],[damId]],Sheet1!$A$2:$M$970,11, FALSE), VLOOKUP(Table3[[#This Row],[dam]],Sheet1!$B$2:$M$970,11, FALSE))</f>
        <v>950000</v>
      </c>
      <c r="L88" s="3">
        <f>_xlfn.IFNA(VLOOKUP(Table3[[#This Row],[damId]],Sheet1!$A$2:$M$970,12, FALSE), VLOOKUP(Table3[[#This Row],[dam]],Sheet1!$B$2:$M$970,12, FALSE))</f>
        <v>0</v>
      </c>
      <c r="M88" s="3">
        <f>_xlfn.IFNA(VLOOKUP(Table3[[#This Row],[damId]],Sheet1!$A$2:$T$970,20, FALSE), VLOOKUP(Table3[[#This Row],[dam]],Sheet1!$B$2:$T$970,20, FALSE))*Sheet1!$AD$3</f>
        <v>139479.44999999998</v>
      </c>
      <c r="N88" s="3">
        <f>Table3[[#This Row],[Total 
income (Earnings + value - stud fee)]]-Table3[[#This Row],[Maintenance cost ]]</f>
        <v>674479.45</v>
      </c>
      <c r="O88" s="3">
        <f>SUM(Table3[[#This Row],[income1]:[income12]])</f>
        <v>700000</v>
      </c>
      <c r="P88" s="3">
        <f>_xlfn.IFNA(VLOOKUP(Table3[[#This Row],[damId]],Sheet1!$A$2:$Y$970,23, FALSE), VLOOKUP(Table3[[#This Row],[dam]],Sheet1!$B$2:$Y$970,23, FALSE))*Sheet1!$AD$3</f>
        <v>25520.55</v>
      </c>
      <c r="Q88" s="3">
        <f>SUM(Table3[[#This Row],[earningsInRaces1]:[earningsInRaces12]])</f>
        <v>0</v>
      </c>
      <c r="R88" s="3">
        <f>SUM(Table3[[#This Row],[auctionPrice1]:[auctionPrice12]])</f>
        <v>700000</v>
      </c>
      <c r="S88" s="3">
        <f>SUM(Table3[[#This Row],[studFeeUSD1]:[studFeeUSD12]])</f>
        <v>0</v>
      </c>
      <c r="T88" s="7">
        <f>COUNT(Table3[[#This Row],[successfulService1]:[successfulService12]])</f>
        <v>1</v>
      </c>
      <c r="U88" s="7">
        <f>SUM(Table3[[#This Row],[successfulService1]:[successfulService12]])</f>
        <v>1</v>
      </c>
      <c r="V88" s="7">
        <f>SUM(Table3[[#This Row],[soldInAuction1]:[soldInAuction12]])</f>
        <v>1</v>
      </c>
      <c r="W88" s="7">
        <f>SUM(Table3[[#This Row],[foreignHorse1]:[foreignHorse12]])</f>
        <v>0</v>
      </c>
      <c r="X88" s="3">
        <v>700000</v>
      </c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>
        <v>0</v>
      </c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>
        <v>700000</v>
      </c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>
        <v>0</v>
      </c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1">
        <v>0</v>
      </c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>
        <v>1</v>
      </c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>
        <v>1</v>
      </c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>
        <v>0</v>
      </c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>
        <v>10</v>
      </c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</row>
    <row r="89" spans="1:131" x14ac:dyDescent="0.3">
      <c r="A89">
        <v>6816556</v>
      </c>
      <c r="B89" s="1" t="s">
        <v>119</v>
      </c>
      <c r="C89" s="1" t="s">
        <v>24</v>
      </c>
      <c r="D89" s="1">
        <v>2016</v>
      </c>
      <c r="E89" s="1">
        <v>9</v>
      </c>
      <c r="F89" s="10">
        <f>Table3[[#This Row],[First season 
with SF]]+Table3[[#This Row],['# Services 
provided]]</f>
        <v>11</v>
      </c>
      <c r="G89" s="26">
        <f>(Table3[[#This Row],[Total Income 
(Race + Price 
sold + Offs - maintenance cost)]]-Table3[[#This Row],[Price 
Bought]])/Table3[[#This Row],[Price 
Bought]]</f>
        <v>-6.0520550000000002</v>
      </c>
      <c r="H89" s="31">
        <f>Table3[[#This Row],[Race 
earnings]]+Table3[[#This Row],[Price 
Sold]]-Table3[[#This Row],[Maintenance cost]]+Table3[[#This Row],[Total 
profit (Income - cost)]]</f>
        <v>-151561.65</v>
      </c>
      <c r="I89" s="3">
        <f>_xlfn.IFNA(VLOOKUP(Table3[[#This Row],[damId]],Sheet1!$A$2:$M$970,5, FALSE), VLOOKUP(Table3[[#This Row],[dam]],Sheet1!$B$2:$M$970,4, FALSE))</f>
        <v>0</v>
      </c>
      <c r="J89" s="3">
        <f>_xlfn.IFNA(VLOOKUP(Table3[[#This Row],[damId]],Sheet1!$A$2:$M$970,13, FALSE), VLOOKUP(Table3[[#This Row],[dam]],Sheet1!$B$2:$M$970,13, FALSE))</f>
        <v>-30000</v>
      </c>
      <c r="K89" s="3">
        <f>_xlfn.IFNA(VLOOKUP(Table3[[#This Row],[damId]],Sheet1!$A$2:$M$970,11, FALSE), VLOOKUP(Table3[[#This Row],[dam]],Sheet1!$B$2:$M$970,11, FALSE))</f>
        <v>30000</v>
      </c>
      <c r="L89" s="3">
        <f>_xlfn.IFNA(VLOOKUP(Table3[[#This Row],[damId]],Sheet1!$A$2:$M$970,12, FALSE), VLOOKUP(Table3[[#This Row],[dam]],Sheet1!$B$2:$M$970,12, FALSE))</f>
        <v>0</v>
      </c>
      <c r="M89" s="3">
        <f>_xlfn.IFNA(VLOOKUP(Table3[[#This Row],[damId]],Sheet1!$A$2:$T$970,20, FALSE), VLOOKUP(Table3[[#This Row],[dam]],Sheet1!$B$2:$T$970,20, FALSE))*Sheet1!$AD$3</f>
        <v>151561.65</v>
      </c>
      <c r="N89" s="3">
        <f>Table3[[#This Row],[Total 
income (Earnings + value - stud fee)]]-Table3[[#This Row],[Maintenance cost ]]</f>
        <v>0</v>
      </c>
      <c r="O89" s="3">
        <f>SUM(Table3[[#This Row],[income1]:[income12]])</f>
        <v>0</v>
      </c>
      <c r="P89" s="3">
        <f>_xlfn.IFNA(VLOOKUP(Table3[[#This Row],[damId]],Sheet1!$A$2:$Y$970,23, FALSE), VLOOKUP(Table3[[#This Row],[dam]],Sheet1!$B$2:$Y$970,23, FALSE))*Sheet1!$AD$3</f>
        <v>0</v>
      </c>
      <c r="Q89" s="3">
        <f>SUM(Table3[[#This Row],[earningsInRaces1]:[earningsInRaces12]])</f>
        <v>0</v>
      </c>
      <c r="R89" s="3">
        <f>SUM(Table3[[#This Row],[auctionPrice1]:[auctionPrice12]])</f>
        <v>0</v>
      </c>
      <c r="S89" s="3">
        <f>SUM(Table3[[#This Row],[studFeeUSD1]:[studFeeUSD12]])</f>
        <v>0</v>
      </c>
      <c r="T89" s="7">
        <f>COUNT(Table3[[#This Row],[successfulService1]:[successfulService12]])</f>
        <v>2</v>
      </c>
      <c r="U89" s="7">
        <f>SUM(Table3[[#This Row],[successfulService1]:[successfulService12]])</f>
        <v>0</v>
      </c>
      <c r="V89" s="7">
        <f>SUM(Table3[[#This Row],[soldInAuction1]:[soldInAuction12]])</f>
        <v>0</v>
      </c>
      <c r="W89" s="7">
        <f>SUM(Table3[[#This Row],[foreignHorse1]:[foreignHorse12]])</f>
        <v>0</v>
      </c>
      <c r="X89" s="3">
        <v>0</v>
      </c>
      <c r="Y89" s="3">
        <v>0</v>
      </c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>
        <v>0</v>
      </c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>
        <v>0</v>
      </c>
      <c r="CG89" s="1">
        <v>0</v>
      </c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>
        <v>0</v>
      </c>
      <c r="CS89" s="1">
        <v>0</v>
      </c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>
        <v>0</v>
      </c>
      <c r="DE89" s="1">
        <v>0</v>
      </c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>
        <v>9</v>
      </c>
      <c r="DQ89" s="1">
        <v>10</v>
      </c>
      <c r="DR89" s="1"/>
      <c r="DS89" s="1"/>
      <c r="DT89" s="1"/>
      <c r="DU89" s="1"/>
      <c r="DV89" s="1"/>
      <c r="DW89" s="1"/>
      <c r="DX89" s="1"/>
      <c r="DY89" s="1"/>
      <c r="DZ89" s="1"/>
      <c r="EA89" s="1"/>
    </row>
    <row r="90" spans="1:131" x14ac:dyDescent="0.3">
      <c r="A90">
        <v>7128556</v>
      </c>
      <c r="B90" s="1" t="s">
        <v>133</v>
      </c>
      <c r="C90" s="1" t="s">
        <v>24</v>
      </c>
      <c r="D90" s="1">
        <v>2016</v>
      </c>
      <c r="E90" s="1">
        <v>9</v>
      </c>
      <c r="F90" s="10">
        <f>Table3[[#This Row],[First season 
with SF]]+Table3[[#This Row],['# Services 
provided]]</f>
        <v>19</v>
      </c>
      <c r="G90" s="26">
        <f>(Table3[[#This Row],[Total Income 
(Race + Price 
sold + Offs - maintenance cost)]]-Table3[[#This Row],[Price 
Bought]])/Table3[[#This Row],[Price 
Bought]]</f>
        <v>-1.1773643636363638</v>
      </c>
      <c r="H90" s="31">
        <f>Table3[[#This Row],[Race 
earnings]]+Table3[[#This Row],[Price 
Sold]]-Table3[[#This Row],[Maintenance cost]]+Table3[[#This Row],[Total 
profit (Income - cost)]]</f>
        <v>-97550.400000000023</v>
      </c>
      <c r="I90" s="3">
        <f>_xlfn.IFNA(VLOOKUP(Table3[[#This Row],[damId]],Sheet1!$A$2:$M$970,5, FALSE), VLOOKUP(Table3[[#This Row],[dam]],Sheet1!$B$2:$M$970,4, FALSE))</f>
        <v>0</v>
      </c>
      <c r="J90" s="3">
        <f>_xlfn.IFNA(VLOOKUP(Table3[[#This Row],[damId]],Sheet1!$A$2:$M$970,13, FALSE), VLOOKUP(Table3[[#This Row],[dam]],Sheet1!$B$2:$M$970,13, FALSE))</f>
        <v>-550000</v>
      </c>
      <c r="K90" s="3">
        <f>_xlfn.IFNA(VLOOKUP(Table3[[#This Row],[damId]],Sheet1!$A$2:$M$970,11, FALSE), VLOOKUP(Table3[[#This Row],[dam]],Sheet1!$B$2:$M$970,11, FALSE))</f>
        <v>550000</v>
      </c>
      <c r="L90" s="3">
        <f>_xlfn.IFNA(VLOOKUP(Table3[[#This Row],[damId]],Sheet1!$A$2:$M$970,12, FALSE), VLOOKUP(Table3[[#This Row],[dam]],Sheet1!$B$2:$M$970,12, FALSE))</f>
        <v>0</v>
      </c>
      <c r="M90" s="3">
        <f>_xlfn.IFNA(VLOOKUP(Table3[[#This Row],[damId]],Sheet1!$A$2:$T$970,20, FALSE), VLOOKUP(Table3[[#This Row],[dam]],Sheet1!$B$2:$T$970,20, FALSE))*Sheet1!$AD$3</f>
        <v>139561.65</v>
      </c>
      <c r="N90" s="3">
        <f>Table3[[#This Row],[Total 
income (Earnings + value - stud fee)]]-Table3[[#This Row],[Maintenance cost ]]</f>
        <v>42011.249999999971</v>
      </c>
      <c r="O90" s="3">
        <f>SUM(Table3[[#This Row],[income1]:[income12]])</f>
        <v>284025</v>
      </c>
      <c r="P90" s="3">
        <f>_xlfn.IFNA(VLOOKUP(Table3[[#This Row],[damId]],Sheet1!$A$2:$Y$970,23, FALSE), VLOOKUP(Table3[[#This Row],[dam]],Sheet1!$B$2:$Y$970,23, FALSE))*Sheet1!$AD$3</f>
        <v>242013.75000000003</v>
      </c>
      <c r="Q90" s="3">
        <f>SUM(Table3[[#This Row],[earningsInRaces1]:[earningsInRaces12]])</f>
        <v>7525</v>
      </c>
      <c r="R90" s="3">
        <f>SUM(Table3[[#This Row],[auctionPrice1]:[auctionPrice12]])</f>
        <v>704000</v>
      </c>
      <c r="S90" s="3">
        <f>SUM(Table3[[#This Row],[studFeeUSD1]:[studFeeUSD12]])</f>
        <v>-427500</v>
      </c>
      <c r="T90" s="7">
        <f>COUNT(Table3[[#This Row],[successfulService1]:[successfulService12]])</f>
        <v>10</v>
      </c>
      <c r="U90" s="7">
        <f>SUM(Table3[[#This Row],[successfulService1]:[successfulService12]])</f>
        <v>6</v>
      </c>
      <c r="V90" s="7">
        <f>SUM(Table3[[#This Row],[soldInAuction1]:[soldInAuction12]])</f>
        <v>6</v>
      </c>
      <c r="W90" s="7">
        <f>SUM(Table3[[#This Row],[foreignHorse1]:[foreignHorse12]])</f>
        <v>0</v>
      </c>
      <c r="X90" s="3">
        <v>350000</v>
      </c>
      <c r="Y90" s="3">
        <v>50000</v>
      </c>
      <c r="Z90" s="3">
        <v>67525</v>
      </c>
      <c r="AA90" s="3">
        <v>-7500</v>
      </c>
      <c r="AB90" s="3">
        <v>30000</v>
      </c>
      <c r="AC90" s="3">
        <v>-75000</v>
      </c>
      <c r="AD90" s="3">
        <v>-80000</v>
      </c>
      <c r="AE90" s="3">
        <v>30000</v>
      </c>
      <c r="AF90" s="3">
        <v>-1000</v>
      </c>
      <c r="AG90" s="3">
        <v>-80000</v>
      </c>
      <c r="AH90" s="3"/>
      <c r="AI90" s="3"/>
      <c r="AJ90" s="3">
        <v>0</v>
      </c>
      <c r="AK90" s="3">
        <v>0</v>
      </c>
      <c r="AL90" s="3">
        <v>7525</v>
      </c>
      <c r="AM90" s="3"/>
      <c r="AN90" s="3">
        <v>0</v>
      </c>
      <c r="AO90" s="3"/>
      <c r="AP90" s="3"/>
      <c r="AQ90" s="3">
        <v>0</v>
      </c>
      <c r="AR90" s="3"/>
      <c r="AS90" s="3"/>
      <c r="AT90" s="3"/>
      <c r="AU90" s="3"/>
      <c r="AV90" s="3">
        <v>350000</v>
      </c>
      <c r="AW90" s="3">
        <v>150000</v>
      </c>
      <c r="AX90" s="3">
        <v>80000</v>
      </c>
      <c r="AY90" s="3"/>
      <c r="AZ90" s="3">
        <v>55000</v>
      </c>
      <c r="BA90" s="3"/>
      <c r="BB90" s="3"/>
      <c r="BC90" s="3">
        <v>55000</v>
      </c>
      <c r="BD90" s="3">
        <v>14000</v>
      </c>
      <c r="BE90" s="3"/>
      <c r="BF90" s="3"/>
      <c r="BG90" s="3"/>
      <c r="BH90" s="3">
        <v>0</v>
      </c>
      <c r="BI90" s="3">
        <v>-100000</v>
      </c>
      <c r="BJ90" s="3">
        <v>-20000</v>
      </c>
      <c r="BK90" s="3">
        <v>-7500</v>
      </c>
      <c r="BL90" s="3">
        <v>-25000</v>
      </c>
      <c r="BM90" s="3">
        <v>-75000</v>
      </c>
      <c r="BN90" s="3">
        <v>-80000</v>
      </c>
      <c r="BO90" s="3">
        <v>-25000</v>
      </c>
      <c r="BP90" s="3">
        <v>-15000</v>
      </c>
      <c r="BQ90" s="3">
        <v>-80000</v>
      </c>
      <c r="BR90" s="3"/>
      <c r="BS90" s="3"/>
      <c r="BT90" s="1">
        <v>0</v>
      </c>
      <c r="BU90" s="1">
        <v>0</v>
      </c>
      <c r="BV90" s="1">
        <v>1</v>
      </c>
      <c r="BW90" s="1"/>
      <c r="BX90" s="1">
        <v>0</v>
      </c>
      <c r="BY90" s="1"/>
      <c r="BZ90" s="1"/>
      <c r="CA90" s="1">
        <v>0</v>
      </c>
      <c r="CB90" s="1"/>
      <c r="CC90" s="1"/>
      <c r="CD90" s="1"/>
      <c r="CE90" s="1"/>
      <c r="CF90" s="1">
        <v>1</v>
      </c>
      <c r="CG90" s="1">
        <v>1</v>
      </c>
      <c r="CH90" s="1">
        <v>1</v>
      </c>
      <c r="CI90" s="1">
        <v>0</v>
      </c>
      <c r="CJ90" s="1">
        <v>1</v>
      </c>
      <c r="CK90" s="1">
        <v>0</v>
      </c>
      <c r="CL90" s="1">
        <v>0</v>
      </c>
      <c r="CM90" s="1">
        <v>1</v>
      </c>
      <c r="CN90" s="1">
        <v>1</v>
      </c>
      <c r="CO90" s="1">
        <v>0</v>
      </c>
      <c r="CP90" s="1"/>
      <c r="CQ90" s="1"/>
      <c r="CR90" s="1">
        <v>1</v>
      </c>
      <c r="CS90" s="1">
        <v>1</v>
      </c>
      <c r="CT90" s="1">
        <v>1</v>
      </c>
      <c r="CU90" s="1">
        <v>0</v>
      </c>
      <c r="CV90" s="1">
        <v>1</v>
      </c>
      <c r="CW90" s="1">
        <v>0</v>
      </c>
      <c r="CX90" s="1">
        <v>0</v>
      </c>
      <c r="CY90" s="1">
        <v>1</v>
      </c>
      <c r="CZ90" s="1">
        <v>1</v>
      </c>
      <c r="DA90" s="1">
        <v>0</v>
      </c>
      <c r="DB90" s="1"/>
      <c r="DC90" s="1"/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/>
      <c r="DO90" s="1"/>
      <c r="DP90" s="1">
        <v>9</v>
      </c>
      <c r="DQ90" s="1">
        <v>10</v>
      </c>
      <c r="DR90" s="1">
        <v>11</v>
      </c>
      <c r="DS90" s="1">
        <v>12</v>
      </c>
      <c r="DT90" s="1">
        <v>13</v>
      </c>
      <c r="DU90" s="1">
        <v>14</v>
      </c>
      <c r="DV90" s="1">
        <v>14</v>
      </c>
      <c r="DW90" s="1">
        <v>15</v>
      </c>
      <c r="DX90" s="1">
        <v>16</v>
      </c>
      <c r="DY90" s="1">
        <v>17</v>
      </c>
      <c r="DZ90" s="1"/>
      <c r="EA90" s="1"/>
    </row>
    <row r="91" spans="1:131" x14ac:dyDescent="0.3">
      <c r="A91">
        <v>7167356</v>
      </c>
      <c r="B91" s="1" t="s">
        <v>135</v>
      </c>
      <c r="C91" s="1" t="s">
        <v>24</v>
      </c>
      <c r="D91" s="1">
        <v>2016</v>
      </c>
      <c r="E91" s="1">
        <v>7</v>
      </c>
      <c r="F91" s="10">
        <f>Table3[[#This Row],[First season 
with SF]]+Table3[[#This Row],['# Services 
provided]]</f>
        <v>12</v>
      </c>
      <c r="G91" s="26">
        <f>(Table3[[#This Row],[Total Income 
(Race + Price 
sold + Offs - maintenance cost)]]-Table3[[#This Row],[Price 
Bought]])/Table3[[#This Row],[Price 
Bought]]</f>
        <v>-0.32884316000000013</v>
      </c>
      <c r="H91" s="31">
        <f>Table3[[#This Row],[Race 
earnings]]+Table3[[#This Row],[Price 
Sold]]-Table3[[#This Row],[Maintenance cost]]+Table3[[#This Row],[Total 
profit (Income - cost)]]</f>
        <v>335578.41999999993</v>
      </c>
      <c r="I91" s="3">
        <f>_xlfn.IFNA(VLOOKUP(Table3[[#This Row],[damId]],Sheet1!$A$2:$M$970,5, FALSE), VLOOKUP(Table3[[#This Row],[dam]],Sheet1!$B$2:$M$970,4, FALSE))</f>
        <v>0</v>
      </c>
      <c r="J91" s="3">
        <f>_xlfn.IFNA(VLOOKUP(Table3[[#This Row],[damId]],Sheet1!$A$2:$M$970,13, FALSE), VLOOKUP(Table3[[#This Row],[dam]],Sheet1!$B$2:$M$970,13, FALSE))</f>
        <v>-500000</v>
      </c>
      <c r="K91" s="3">
        <f>_xlfn.IFNA(VLOOKUP(Table3[[#This Row],[damId]],Sheet1!$A$2:$M$970,11, FALSE), VLOOKUP(Table3[[#This Row],[dam]],Sheet1!$B$2:$M$970,11, FALSE))</f>
        <v>500000</v>
      </c>
      <c r="L91" s="3">
        <f>_xlfn.IFNA(VLOOKUP(Table3[[#This Row],[damId]],Sheet1!$A$2:$M$970,12, FALSE), VLOOKUP(Table3[[#This Row],[dam]],Sheet1!$B$2:$M$970,12, FALSE))</f>
        <v>0</v>
      </c>
      <c r="M91" s="3">
        <f>_xlfn.IFNA(VLOOKUP(Table3[[#This Row],[damId]],Sheet1!$A$2:$T$970,20, FALSE), VLOOKUP(Table3[[#This Row],[dam]],Sheet1!$B$2:$T$970,20, FALSE))*Sheet1!$AD$3</f>
        <v>139561.65</v>
      </c>
      <c r="N91" s="3">
        <f>Table3[[#This Row],[Total 
income (Earnings + value - stud fee)]]-Table3[[#This Row],[Maintenance cost ]]</f>
        <v>475140.06999999995</v>
      </c>
      <c r="O91" s="3">
        <f>SUM(Table3[[#This Row],[income1]:[income12]])</f>
        <v>612770.19999999995</v>
      </c>
      <c r="P91" s="3">
        <f>_xlfn.IFNA(VLOOKUP(Table3[[#This Row],[damId]],Sheet1!$A$2:$Y$970,23, FALSE), VLOOKUP(Table3[[#This Row],[dam]],Sheet1!$B$2:$Y$970,23, FALSE))*Sheet1!$AD$3</f>
        <v>137630.13</v>
      </c>
      <c r="Q91" s="3">
        <f>SUM(Table3[[#This Row],[earningsInRaces1]:[earningsInRaces12]])</f>
        <v>142770.20000000001</v>
      </c>
      <c r="R91" s="3">
        <f>SUM(Table3[[#This Row],[auctionPrice1]:[auctionPrice12]])</f>
        <v>655000</v>
      </c>
      <c r="S91" s="3">
        <f>SUM(Table3[[#This Row],[studFeeUSD1]:[studFeeUSD12]])</f>
        <v>-185000</v>
      </c>
      <c r="T91" s="7">
        <f>COUNT(Table3[[#This Row],[successfulService1]:[successfulService12]])</f>
        <v>5</v>
      </c>
      <c r="U91" s="7">
        <f>SUM(Table3[[#This Row],[successfulService1]:[successfulService12]])</f>
        <v>4</v>
      </c>
      <c r="V91" s="7">
        <f>SUM(Table3[[#This Row],[soldInAuction1]:[soldInAuction12]])</f>
        <v>3</v>
      </c>
      <c r="W91" s="7">
        <f>SUM(Table3[[#This Row],[foreignHorse1]:[foreignHorse12]])</f>
        <v>0</v>
      </c>
      <c r="X91" s="3">
        <v>175000</v>
      </c>
      <c r="Y91" s="3">
        <v>295000</v>
      </c>
      <c r="Z91" s="3">
        <v>112770.2</v>
      </c>
      <c r="AA91" s="3">
        <v>50000</v>
      </c>
      <c r="AB91" s="3">
        <v>-20000</v>
      </c>
      <c r="AC91" s="3"/>
      <c r="AD91" s="3"/>
      <c r="AE91" s="3"/>
      <c r="AF91" s="3"/>
      <c r="AG91" s="3"/>
      <c r="AH91" s="3"/>
      <c r="AI91" s="3"/>
      <c r="AJ91" s="3">
        <v>0</v>
      </c>
      <c r="AK91" s="3">
        <v>0</v>
      </c>
      <c r="AL91" s="3">
        <v>142770.20000000001</v>
      </c>
      <c r="AM91" s="3"/>
      <c r="AN91" s="3"/>
      <c r="AO91" s="3"/>
      <c r="AP91" s="3"/>
      <c r="AQ91" s="3"/>
      <c r="AR91" s="3"/>
      <c r="AS91" s="3"/>
      <c r="AT91" s="3"/>
      <c r="AU91" s="3"/>
      <c r="AV91" s="3">
        <v>175000</v>
      </c>
      <c r="AW91" s="3">
        <v>320000</v>
      </c>
      <c r="AX91" s="3"/>
      <c r="AY91" s="3">
        <v>160000</v>
      </c>
      <c r="AZ91" s="3"/>
      <c r="BA91" s="3"/>
      <c r="BB91" s="3"/>
      <c r="BC91" s="3"/>
      <c r="BD91" s="3"/>
      <c r="BE91" s="3"/>
      <c r="BF91" s="3"/>
      <c r="BG91" s="3"/>
      <c r="BH91" s="3">
        <v>0</v>
      </c>
      <c r="BI91" s="3">
        <v>-25000</v>
      </c>
      <c r="BJ91" s="3">
        <v>-30000</v>
      </c>
      <c r="BK91" s="3">
        <v>-110000</v>
      </c>
      <c r="BL91" s="3">
        <v>-20000</v>
      </c>
      <c r="BM91" s="3"/>
      <c r="BN91" s="3"/>
      <c r="BO91" s="3"/>
      <c r="BP91" s="3"/>
      <c r="BQ91" s="3"/>
      <c r="BR91" s="3"/>
      <c r="BS91" s="3"/>
      <c r="BT91" s="1">
        <v>0</v>
      </c>
      <c r="BU91" s="1">
        <v>0</v>
      </c>
      <c r="BV91" s="1">
        <v>1</v>
      </c>
      <c r="BW91" s="1"/>
      <c r="BX91" s="1"/>
      <c r="BY91" s="1"/>
      <c r="BZ91" s="1"/>
      <c r="CA91" s="1"/>
      <c r="CB91" s="1"/>
      <c r="CC91" s="1"/>
      <c r="CD91" s="1"/>
      <c r="CE91" s="1"/>
      <c r="CF91" s="1">
        <v>1</v>
      </c>
      <c r="CG91" s="1">
        <v>1</v>
      </c>
      <c r="CH91" s="1">
        <v>1</v>
      </c>
      <c r="CI91" s="1">
        <v>1</v>
      </c>
      <c r="CJ91" s="1">
        <v>0</v>
      </c>
      <c r="CK91" s="1"/>
      <c r="CL91" s="1"/>
      <c r="CM91" s="1"/>
      <c r="CN91" s="1"/>
      <c r="CO91" s="1"/>
      <c r="CP91" s="1"/>
      <c r="CQ91" s="1"/>
      <c r="CR91" s="1">
        <v>1</v>
      </c>
      <c r="CS91" s="1">
        <v>1</v>
      </c>
      <c r="CT91" s="1">
        <v>0</v>
      </c>
      <c r="CU91" s="1">
        <v>1</v>
      </c>
      <c r="CV91" s="1">
        <v>0</v>
      </c>
      <c r="CW91" s="1"/>
      <c r="CX91" s="1"/>
      <c r="CY91" s="1"/>
      <c r="CZ91" s="1"/>
      <c r="DA91" s="1"/>
      <c r="DB91" s="1"/>
      <c r="DC91" s="1"/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/>
      <c r="DJ91" s="1"/>
      <c r="DK91" s="1"/>
      <c r="DL91" s="1"/>
      <c r="DM91" s="1"/>
      <c r="DN91" s="1"/>
      <c r="DO91" s="1"/>
      <c r="DP91" s="1">
        <v>7</v>
      </c>
      <c r="DQ91" s="1">
        <v>8</v>
      </c>
      <c r="DR91" s="1">
        <v>9</v>
      </c>
      <c r="DS91" s="1">
        <v>10</v>
      </c>
      <c r="DT91" s="1">
        <v>11</v>
      </c>
      <c r="DU91" s="1"/>
      <c r="DV91" s="1"/>
      <c r="DW91" s="1"/>
      <c r="DX91" s="1"/>
      <c r="DY91" s="1"/>
      <c r="DZ91" s="1"/>
      <c r="EA91" s="1"/>
    </row>
    <row r="92" spans="1:131" x14ac:dyDescent="0.3">
      <c r="A92">
        <v>7458999</v>
      </c>
      <c r="B92" s="1" t="s">
        <v>165</v>
      </c>
      <c r="C92" s="1" t="s">
        <v>24</v>
      </c>
      <c r="D92" s="1">
        <v>2016</v>
      </c>
      <c r="E92" s="1">
        <v>6</v>
      </c>
      <c r="F92" s="10">
        <f>Table3[[#This Row],[First season 
with SF]]+Table3[[#This Row],['# Services 
provided]]</f>
        <v>8</v>
      </c>
      <c r="G92" s="26">
        <f>(Table3[[#This Row],[Total Income 
(Race + Price 
sold + Offs - maintenance cost)]]-Table3[[#This Row],[Price 
Bought]])/Table3[[#This Row],[Price 
Bought]]</f>
        <v>0.71541084999999982</v>
      </c>
      <c r="H92" s="31">
        <f>Table3[[#This Row],[Race 
earnings]]+Table3[[#This Row],[Price 
Sold]]-Table3[[#This Row],[Maintenance cost]]+Table3[[#This Row],[Total 
profit (Income - cost)]]</f>
        <v>68616.433999999994</v>
      </c>
      <c r="I92" s="3">
        <f>_xlfn.IFNA(VLOOKUP(Table3[[#This Row],[damId]],Sheet1!$A$2:$M$970,5, FALSE), VLOOKUP(Table3[[#This Row],[dam]],Sheet1!$B$2:$M$970,4, FALSE))</f>
        <v>0</v>
      </c>
      <c r="J92" s="3">
        <f>_xlfn.IFNA(VLOOKUP(Table3[[#This Row],[damId]],Sheet1!$A$2:$M$970,13, FALSE), VLOOKUP(Table3[[#This Row],[dam]],Sheet1!$B$2:$M$970,13, FALSE))</f>
        <v>10000</v>
      </c>
      <c r="K92" s="3">
        <f>_xlfn.IFNA(VLOOKUP(Table3[[#This Row],[damId]],Sheet1!$A$2:$M$970,11, FALSE), VLOOKUP(Table3[[#This Row],[dam]],Sheet1!$B$2:$M$970,11, FALSE))</f>
        <v>40000</v>
      </c>
      <c r="L92" s="3">
        <f>_xlfn.IFNA(VLOOKUP(Table3[[#This Row],[damId]],Sheet1!$A$2:$M$970,12, FALSE), VLOOKUP(Table3[[#This Row],[dam]],Sheet1!$B$2:$M$970,12, FALSE))</f>
        <v>50000</v>
      </c>
      <c r="M92" s="3">
        <f>_xlfn.IFNA(VLOOKUP(Table3[[#This Row],[damId]],Sheet1!$A$2:$T$970,20, FALSE), VLOOKUP(Table3[[#This Row],[dam]],Sheet1!$B$2:$T$970,20, FALSE))*Sheet1!$AD$3</f>
        <v>30041.100000000002</v>
      </c>
      <c r="N92" s="3">
        <f>Table3[[#This Row],[Total 
income (Earnings + value - stud fee)]]-Table3[[#This Row],[Maintenance cost ]]</f>
        <v>48657.534</v>
      </c>
      <c r="O92" s="3">
        <f>SUM(Table3[[#This Row],[income1]:[income12]])</f>
        <v>60000</v>
      </c>
      <c r="P92" s="3">
        <f>_xlfn.IFNA(VLOOKUP(Table3[[#This Row],[damId]],Sheet1!$A$2:$Y$970,23, FALSE), VLOOKUP(Table3[[#This Row],[dam]],Sheet1!$B$2:$Y$970,23, FALSE))*Sheet1!$AD$3</f>
        <v>11342.465999999999</v>
      </c>
      <c r="Q92" s="3">
        <f>SUM(Table3[[#This Row],[earningsInRaces1]:[earningsInRaces12]])</f>
        <v>0</v>
      </c>
      <c r="R92" s="3">
        <f>SUM(Table3[[#This Row],[auctionPrice1]:[auctionPrice12]])</f>
        <v>200000</v>
      </c>
      <c r="S92" s="3">
        <f>SUM(Table3[[#This Row],[studFeeUSD1]:[studFeeUSD12]])</f>
        <v>-140000</v>
      </c>
      <c r="T92" s="7">
        <f>COUNT(Table3[[#This Row],[successfulService1]:[successfulService12]])</f>
        <v>2</v>
      </c>
      <c r="U92" s="7">
        <f>SUM(Table3[[#This Row],[successfulService1]:[successfulService12]])</f>
        <v>1</v>
      </c>
      <c r="V92" s="7">
        <f>SUM(Table3[[#This Row],[soldInAuction1]:[soldInAuction12]])</f>
        <v>1</v>
      </c>
      <c r="W92" s="7">
        <f>SUM(Table3[[#This Row],[foreignHorse1]:[foreignHorse12]])</f>
        <v>0</v>
      </c>
      <c r="X92" s="3">
        <v>-15000</v>
      </c>
      <c r="Y92" s="3">
        <v>75000</v>
      </c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>
        <v>0</v>
      </c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>
        <v>200000</v>
      </c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>
        <v>-15000</v>
      </c>
      <c r="BI92" s="3">
        <v>-125000</v>
      </c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1"/>
      <c r="BU92" s="1">
        <v>0</v>
      </c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>
        <v>0</v>
      </c>
      <c r="CG92" s="1">
        <v>1</v>
      </c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>
        <v>0</v>
      </c>
      <c r="CS92" s="1">
        <v>1</v>
      </c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>
        <v>0</v>
      </c>
      <c r="DE92" s="1">
        <v>0</v>
      </c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>
        <v>6</v>
      </c>
      <c r="DQ92" s="1">
        <v>7</v>
      </c>
      <c r="DR92" s="1"/>
      <c r="DS92" s="1"/>
      <c r="DT92" s="1"/>
      <c r="DU92" s="1"/>
      <c r="DV92" s="1"/>
      <c r="DW92" s="1"/>
      <c r="DX92" s="1"/>
      <c r="DY92" s="1"/>
      <c r="DZ92" s="1"/>
      <c r="EA92" s="1"/>
    </row>
    <row r="93" spans="1:131" x14ac:dyDescent="0.3">
      <c r="A93">
        <v>7996279</v>
      </c>
      <c r="B93" s="1" t="s">
        <v>225</v>
      </c>
      <c r="C93" s="1" t="s">
        <v>24</v>
      </c>
      <c r="D93" s="1">
        <v>2016</v>
      </c>
      <c r="E93" s="1">
        <v>4</v>
      </c>
      <c r="F93" s="10">
        <f>Table3[[#This Row],[First season 
with SF]]+Table3[[#This Row],['# Services 
provided]]</f>
        <v>6</v>
      </c>
      <c r="G93" s="26">
        <f>(Table3[[#This Row],[Total Income 
(Race + Price 
sold + Offs - maintenance cost)]]-Table3[[#This Row],[Price 
Bought]])/Table3[[#This Row],[Price 
Bought]]</f>
        <v>3.8814307777777772</v>
      </c>
      <c r="H93" s="31">
        <f>Table3[[#This Row],[Race 
earnings]]+Table3[[#This Row],[Price 
Sold]]-Table3[[#This Row],[Maintenance cost]]+Table3[[#This Row],[Total 
profit (Income - cost)]]</f>
        <v>439328.76999999996</v>
      </c>
      <c r="I93" s="3">
        <f>_xlfn.IFNA(VLOOKUP(Table3[[#This Row],[damId]],Sheet1!$A$2:$M$970,5, FALSE), VLOOKUP(Table3[[#This Row],[dam]],Sheet1!$B$2:$M$970,4, FALSE))</f>
        <v>0</v>
      </c>
      <c r="J93" s="3">
        <f>_xlfn.IFNA(VLOOKUP(Table3[[#This Row],[damId]],Sheet1!$A$2:$M$970,13, FALSE), VLOOKUP(Table3[[#This Row],[dam]],Sheet1!$B$2:$M$970,13, FALSE))</f>
        <v>15000</v>
      </c>
      <c r="K93" s="3">
        <f>_xlfn.IFNA(VLOOKUP(Table3[[#This Row],[damId]],Sheet1!$A$2:$M$970,11, FALSE), VLOOKUP(Table3[[#This Row],[dam]],Sheet1!$B$2:$M$970,11, FALSE))</f>
        <v>90000</v>
      </c>
      <c r="L93" s="3">
        <f>_xlfn.IFNA(VLOOKUP(Table3[[#This Row],[damId]],Sheet1!$A$2:$M$970,12, FALSE), VLOOKUP(Table3[[#This Row],[dam]],Sheet1!$B$2:$M$970,12, FALSE))</f>
        <v>105000</v>
      </c>
      <c r="M93" s="3">
        <f>_xlfn.IFNA(VLOOKUP(Table3[[#This Row],[damId]],Sheet1!$A$2:$T$970,20, FALSE), VLOOKUP(Table3[[#This Row],[dam]],Sheet1!$B$2:$T$970,20, FALSE))*Sheet1!$AD$3</f>
        <v>30410.955000000002</v>
      </c>
      <c r="N93" s="3">
        <f>Table3[[#This Row],[Total 
income (Earnings + value - stud fee)]]-Table3[[#This Row],[Maintenance cost ]]</f>
        <v>364739.72499999998</v>
      </c>
      <c r="O93" s="3">
        <f>SUM(Table3[[#This Row],[income1]:[income12]])</f>
        <v>427000</v>
      </c>
      <c r="P93" s="3">
        <f>_xlfn.IFNA(VLOOKUP(Table3[[#This Row],[damId]],Sheet1!$A$2:$Y$970,23, FALSE), VLOOKUP(Table3[[#This Row],[dam]],Sheet1!$B$2:$Y$970,23, FALSE))*Sheet1!$AD$3</f>
        <v>62260.275000000001</v>
      </c>
      <c r="Q93" s="3">
        <f>SUM(Table3[[#This Row],[earningsInRaces1]:[earningsInRaces12]])</f>
        <v>0</v>
      </c>
      <c r="R93" s="3">
        <f>SUM(Table3[[#This Row],[auctionPrice1]:[auctionPrice12]])</f>
        <v>442000</v>
      </c>
      <c r="S93" s="3">
        <f>SUM(Table3[[#This Row],[studFeeUSD1]:[studFeeUSD12]])</f>
        <v>-15000</v>
      </c>
      <c r="T93" s="7">
        <f>COUNT(Table3[[#This Row],[successfulService1]:[successfulService12]])</f>
        <v>2</v>
      </c>
      <c r="U93" s="7">
        <f>SUM(Table3[[#This Row],[successfulService1]:[successfulService12]])</f>
        <v>2</v>
      </c>
      <c r="V93" s="7">
        <f>SUM(Table3[[#This Row],[soldInAuction1]:[soldInAuction12]])</f>
        <v>2</v>
      </c>
      <c r="W93" s="7">
        <f>SUM(Table3[[#This Row],[foreignHorse1]:[foreignHorse12]])</f>
        <v>0</v>
      </c>
      <c r="X93" s="3">
        <v>350000</v>
      </c>
      <c r="Y93" s="3">
        <v>77000</v>
      </c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>
        <v>0</v>
      </c>
      <c r="AK93" s="3">
        <v>0</v>
      </c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>
        <v>350000</v>
      </c>
      <c r="AW93" s="3">
        <v>92000</v>
      </c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>
        <v>0</v>
      </c>
      <c r="BI93" s="3">
        <v>-15000</v>
      </c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1">
        <v>0</v>
      </c>
      <c r="BU93" s="1">
        <v>0</v>
      </c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>
        <v>1</v>
      </c>
      <c r="CG93" s="1">
        <v>1</v>
      </c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>
        <v>1</v>
      </c>
      <c r="CS93" s="1">
        <v>1</v>
      </c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>
        <v>0</v>
      </c>
      <c r="DE93" s="1">
        <v>0</v>
      </c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>
        <v>4</v>
      </c>
      <c r="DQ93" s="1">
        <v>5</v>
      </c>
      <c r="DR93" s="1"/>
      <c r="DS93" s="1"/>
      <c r="DT93" s="1"/>
      <c r="DU93" s="1"/>
      <c r="DV93" s="1"/>
      <c r="DW93" s="1"/>
      <c r="DX93" s="1"/>
      <c r="DY93" s="1"/>
      <c r="DZ93" s="1"/>
      <c r="EA93" s="1"/>
    </row>
    <row r="94" spans="1:131" x14ac:dyDescent="0.3">
      <c r="A94">
        <v>8372016</v>
      </c>
      <c r="B94" s="1" t="s">
        <v>282</v>
      </c>
      <c r="C94" s="1" t="s">
        <v>139</v>
      </c>
      <c r="D94" s="1">
        <v>2016</v>
      </c>
      <c r="E94" s="1">
        <v>1</v>
      </c>
      <c r="F94" s="10">
        <f>Table3[[#This Row],[First season 
with SF]]+Table3[[#This Row],['# Services 
provided]]</f>
        <v>2</v>
      </c>
      <c r="G94" s="26">
        <f>(Table3[[#This Row],[Total Income 
(Race + Price 
sold + Offs - maintenance cost)]]-Table3[[#This Row],[Price 
Bought]])/Table3[[#This Row],[Price 
Bought]]</f>
        <v>1.1597260199999999</v>
      </c>
      <c r="H94" s="31">
        <f>Table3[[#This Row],[Race 
earnings]]+Table3[[#This Row],[Price 
Sold]]-Table3[[#This Row],[Maintenance cost]]+Table3[[#This Row],[Total 
profit (Income - cost)]]</f>
        <v>647917.80599999998</v>
      </c>
      <c r="I94" s="3">
        <f>_xlfn.IFNA(VLOOKUP(Table3[[#This Row],[damId]],Sheet1!$A$2:$M$970,5, FALSE), VLOOKUP(Table3[[#This Row],[dam]],Sheet1!$B$2:$M$970,4, FALSE))</f>
        <v>0</v>
      </c>
      <c r="J94" s="3">
        <f>_xlfn.IFNA(VLOOKUP(Table3[[#This Row],[damId]],Sheet1!$A$2:$M$970,13, FALSE), VLOOKUP(Table3[[#This Row],[dam]],Sheet1!$B$2:$M$970,13, FALSE))</f>
        <v>280000</v>
      </c>
      <c r="K94" s="3">
        <f>_xlfn.IFNA(VLOOKUP(Table3[[#This Row],[damId]],Sheet1!$A$2:$M$970,11, FALSE), VLOOKUP(Table3[[#This Row],[dam]],Sheet1!$B$2:$M$970,11, FALSE))</f>
        <v>300000</v>
      </c>
      <c r="L94" s="3">
        <f>_xlfn.IFNA(VLOOKUP(Table3[[#This Row],[damId]],Sheet1!$A$2:$M$970,12, FALSE), VLOOKUP(Table3[[#This Row],[dam]],Sheet1!$B$2:$M$970,12, FALSE))</f>
        <v>580000</v>
      </c>
      <c r="M94" s="3">
        <f>_xlfn.IFNA(VLOOKUP(Table3[[#This Row],[damId]],Sheet1!$A$2:$T$970,20, FALSE), VLOOKUP(Table3[[#This Row],[dam]],Sheet1!$B$2:$T$970,20, FALSE))*Sheet1!$AD$3</f>
        <v>30328.769999999997</v>
      </c>
      <c r="N94" s="3">
        <f>Table3[[#This Row],[Total 
income (Earnings + value - stud fee)]]-Table3[[#This Row],[Maintenance cost ]]</f>
        <v>98246.576000000001</v>
      </c>
      <c r="O94" s="3">
        <f>SUM(Table3[[#This Row],[income1]:[income12]])</f>
        <v>110000</v>
      </c>
      <c r="P94" s="3">
        <f>_xlfn.IFNA(VLOOKUP(Table3[[#This Row],[damId]],Sheet1!$A$2:$Y$970,23, FALSE), VLOOKUP(Table3[[#This Row],[dam]],Sheet1!$B$2:$Y$970,23, FALSE))*Sheet1!$AD$3</f>
        <v>11753.423999999999</v>
      </c>
      <c r="Q94" s="3">
        <f>SUM(Table3[[#This Row],[earningsInRaces1]:[earningsInRaces12]])</f>
        <v>0</v>
      </c>
      <c r="R94" s="3">
        <f>SUM(Table3[[#This Row],[auctionPrice1]:[auctionPrice12]])</f>
        <v>140000</v>
      </c>
      <c r="S94" s="3">
        <f>SUM(Table3[[#This Row],[studFeeUSD1]:[studFeeUSD12]])</f>
        <v>-30000</v>
      </c>
      <c r="T94" s="7">
        <f>COUNT(Table3[[#This Row],[successfulService1]:[successfulService12]])</f>
        <v>1</v>
      </c>
      <c r="U94" s="7">
        <f>SUM(Table3[[#This Row],[successfulService1]:[successfulService12]])</f>
        <v>1</v>
      </c>
      <c r="V94" s="7">
        <f>SUM(Table3[[#This Row],[soldInAuction1]:[soldInAuction12]])</f>
        <v>1</v>
      </c>
      <c r="W94" s="7">
        <f>SUM(Table3[[#This Row],[foreignHorse1]:[foreignHorse12]])</f>
        <v>0</v>
      </c>
      <c r="X94" s="3">
        <v>110000</v>
      </c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>
        <v>0</v>
      </c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>
        <v>140000</v>
      </c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>
        <v>-30000</v>
      </c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1">
        <v>0</v>
      </c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>
        <v>1</v>
      </c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>
        <v>1</v>
      </c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>
        <v>0</v>
      </c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>
        <v>1</v>
      </c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</row>
    <row r="95" spans="1:131" x14ac:dyDescent="0.3">
      <c r="A95">
        <v>8546972</v>
      </c>
      <c r="B95" s="1" t="s">
        <v>288</v>
      </c>
      <c r="C95" s="1" t="s">
        <v>139</v>
      </c>
      <c r="D95" s="1">
        <v>2016</v>
      </c>
      <c r="E95" s="1">
        <v>1</v>
      </c>
      <c r="F95" s="10">
        <f>Table3[[#This Row],[First season 
with SF]]+Table3[[#This Row],['# Services 
provided]]</f>
        <v>4</v>
      </c>
      <c r="G95" s="26">
        <f>(Table3[[#This Row],[Total Income 
(Race + Price 
sold + Offs - maintenance cost)]]-Table3[[#This Row],[Price 
Bought]])/Table3[[#This Row],[Price 
Bought]]</f>
        <v>-0.96239264666666668</v>
      </c>
      <c r="H95" s="31">
        <f>Table3[[#This Row],[Race 
earnings]]+Table3[[#This Row],[Price 
Sold]]-Table3[[#This Row],[Maintenance cost]]+Table3[[#This Row],[Total 
profit (Income - cost)]]</f>
        <v>28205.514999999985</v>
      </c>
      <c r="I95" s="3">
        <f>_xlfn.IFNA(VLOOKUP(Table3[[#This Row],[damId]],Sheet1!$A$2:$M$970,5, FALSE), VLOOKUP(Table3[[#This Row],[dam]],Sheet1!$B$2:$M$970,4, FALSE))</f>
        <v>25000</v>
      </c>
      <c r="J95" s="3">
        <f>_xlfn.IFNA(VLOOKUP(Table3[[#This Row],[damId]],Sheet1!$A$2:$M$970,13, FALSE), VLOOKUP(Table3[[#This Row],[dam]],Sheet1!$B$2:$M$970,13, FALSE))</f>
        <v>-425000</v>
      </c>
      <c r="K95" s="3">
        <f>_xlfn.IFNA(VLOOKUP(Table3[[#This Row],[damId]],Sheet1!$A$2:$M$970,11, FALSE), VLOOKUP(Table3[[#This Row],[dam]],Sheet1!$B$2:$M$970,11, FALSE))</f>
        <v>750000</v>
      </c>
      <c r="L95" s="3">
        <f>_xlfn.IFNA(VLOOKUP(Table3[[#This Row],[damId]],Sheet1!$A$2:$M$970,12, FALSE), VLOOKUP(Table3[[#This Row],[dam]],Sheet1!$B$2:$M$970,12, FALSE))</f>
        <v>325000</v>
      </c>
      <c r="M95" s="3">
        <f>_xlfn.IFNA(VLOOKUP(Table3[[#This Row],[damId]],Sheet1!$A$2:$T$970,20, FALSE), VLOOKUP(Table3[[#This Row],[dam]],Sheet1!$B$2:$T$970,20, FALSE))*Sheet1!$AD$3</f>
        <v>60082.185000000005</v>
      </c>
      <c r="N95" s="3">
        <f>Table3[[#This Row],[Total 
income (Earnings + value - stud fee)]]-Table3[[#This Row],[Maintenance cost ]]</f>
        <v>-261712.30000000002</v>
      </c>
      <c r="O95" s="3">
        <f>SUM(Table3[[#This Row],[income1]:[income12]])</f>
        <v>-109000</v>
      </c>
      <c r="P95" s="3">
        <f>_xlfn.IFNA(VLOOKUP(Table3[[#This Row],[damId]],Sheet1!$A$2:$Y$970,23, FALSE), VLOOKUP(Table3[[#This Row],[dam]],Sheet1!$B$2:$Y$970,23, FALSE))*Sheet1!$AD$3</f>
        <v>152712.30000000002</v>
      </c>
      <c r="Q95" s="3">
        <f>SUM(Table3[[#This Row],[earningsInRaces1]:[earningsInRaces12]])</f>
        <v>0</v>
      </c>
      <c r="R95" s="3">
        <f>SUM(Table3[[#This Row],[auctionPrice1]:[auctionPrice12]])</f>
        <v>16000</v>
      </c>
      <c r="S95" s="3">
        <f>SUM(Table3[[#This Row],[studFeeUSD1]:[studFeeUSD12]])</f>
        <v>-125000</v>
      </c>
      <c r="T95" s="7">
        <f>COUNT(Table3[[#This Row],[successfulService1]:[successfulService12]])</f>
        <v>3</v>
      </c>
      <c r="U95" s="7">
        <f>SUM(Table3[[#This Row],[successfulService1]:[successfulService12]])</f>
        <v>2</v>
      </c>
      <c r="V95" s="7">
        <f>SUM(Table3[[#This Row],[soldInAuction1]:[soldInAuction12]])</f>
        <v>1</v>
      </c>
      <c r="W95" s="7">
        <f>SUM(Table3[[#This Row],[foreignHorse1]:[foreignHorse12]])</f>
        <v>0</v>
      </c>
      <c r="X95" s="3">
        <v>-30000</v>
      </c>
      <c r="Y95" s="3">
        <v>-49000</v>
      </c>
      <c r="Z95" s="3">
        <v>-30000</v>
      </c>
      <c r="AA95" s="3"/>
      <c r="AB95" s="3"/>
      <c r="AC95" s="3"/>
      <c r="AD95" s="3"/>
      <c r="AE95" s="3"/>
      <c r="AF95" s="3"/>
      <c r="AG95" s="3"/>
      <c r="AH95" s="3"/>
      <c r="AI95" s="3"/>
      <c r="AJ95" s="3">
        <v>0</v>
      </c>
      <c r="AK95" s="3">
        <v>0</v>
      </c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>
        <v>16000</v>
      </c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>
        <v>-30000</v>
      </c>
      <c r="BI95" s="3">
        <v>-65000</v>
      </c>
      <c r="BJ95" s="3">
        <v>-30000</v>
      </c>
      <c r="BK95" s="3"/>
      <c r="BL95" s="3"/>
      <c r="BM95" s="3"/>
      <c r="BN95" s="3"/>
      <c r="BO95" s="3"/>
      <c r="BP95" s="3"/>
      <c r="BQ95" s="3"/>
      <c r="BR95" s="3"/>
      <c r="BS95" s="3"/>
      <c r="BT95" s="1">
        <v>0</v>
      </c>
      <c r="BU95" s="1">
        <v>0</v>
      </c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>
        <v>1</v>
      </c>
      <c r="CG95" s="1">
        <v>1</v>
      </c>
      <c r="CH95" s="1">
        <v>0</v>
      </c>
      <c r="CI95" s="1"/>
      <c r="CJ95" s="1"/>
      <c r="CK95" s="1"/>
      <c r="CL95" s="1"/>
      <c r="CM95" s="1"/>
      <c r="CN95" s="1"/>
      <c r="CO95" s="1"/>
      <c r="CP95" s="1"/>
      <c r="CQ95" s="1"/>
      <c r="CR95" s="1">
        <v>0</v>
      </c>
      <c r="CS95" s="1">
        <v>1</v>
      </c>
      <c r="CT95" s="1">
        <v>0</v>
      </c>
      <c r="CU95" s="1"/>
      <c r="CV95" s="1"/>
      <c r="CW95" s="1"/>
      <c r="CX95" s="1"/>
      <c r="CY95" s="1"/>
      <c r="CZ95" s="1"/>
      <c r="DA95" s="1"/>
      <c r="DB95" s="1"/>
      <c r="DC95" s="1"/>
      <c r="DD95" s="1">
        <v>0</v>
      </c>
      <c r="DE95" s="1">
        <v>0</v>
      </c>
      <c r="DF95" s="1">
        <v>0</v>
      </c>
      <c r="DG95" s="1"/>
      <c r="DH95" s="1"/>
      <c r="DI95" s="1"/>
      <c r="DJ95" s="1"/>
      <c r="DK95" s="1"/>
      <c r="DL95" s="1"/>
      <c r="DM95" s="1"/>
      <c r="DN95" s="1"/>
      <c r="DO95" s="1"/>
      <c r="DP95" s="1">
        <v>1</v>
      </c>
      <c r="DQ95" s="1">
        <v>2</v>
      </c>
      <c r="DR95" s="1">
        <v>3</v>
      </c>
      <c r="DS95" s="1"/>
      <c r="DT95" s="1"/>
      <c r="DU95" s="1"/>
      <c r="DV95" s="1"/>
      <c r="DW95" s="1"/>
      <c r="DX95" s="1"/>
      <c r="DY95" s="1"/>
      <c r="DZ95" s="1"/>
      <c r="EA95" s="1"/>
    </row>
    <row r="96" spans="1:131" x14ac:dyDescent="0.3">
      <c r="A96">
        <v>8828942</v>
      </c>
      <c r="B96" s="1" t="s">
        <v>343</v>
      </c>
      <c r="C96" s="1" t="s">
        <v>24</v>
      </c>
      <c r="D96" s="1">
        <v>2016</v>
      </c>
      <c r="E96" s="1">
        <v>1</v>
      </c>
      <c r="F96" s="10">
        <f>Table3[[#This Row],[First season 
with SF]]+Table3[[#This Row],['# Services 
provided]]</f>
        <v>2</v>
      </c>
      <c r="G96" s="26">
        <f>(Table3[[#This Row],[Total Income 
(Race + Price 
sold + Offs - maintenance cost)]]-Table3[[#This Row],[Price 
Bought]])/Table3[[#This Row],[Price 
Bought]]</f>
        <v>-1.2870624222222224</v>
      </c>
      <c r="H96" s="31">
        <f>Table3[[#This Row],[Race 
earnings]]+Table3[[#This Row],[Price 
Sold]]-Table3[[#This Row],[Maintenance cost]]+Table3[[#This Row],[Total 
profit (Income - cost)]]</f>
        <v>-129178.09000000003</v>
      </c>
      <c r="I96" s="3">
        <f>_xlfn.IFNA(VLOOKUP(Table3[[#This Row],[damId]],Sheet1!$A$2:$M$970,5, FALSE), VLOOKUP(Table3[[#This Row],[dam]],Sheet1!$B$2:$M$970,4, FALSE))</f>
        <v>0</v>
      </c>
      <c r="J96" s="3">
        <f>_xlfn.IFNA(VLOOKUP(Table3[[#This Row],[damId]],Sheet1!$A$2:$M$970,13, FALSE), VLOOKUP(Table3[[#This Row],[dam]],Sheet1!$B$2:$M$970,13, FALSE))</f>
        <v>-450000</v>
      </c>
      <c r="K96" s="3">
        <f>_xlfn.IFNA(VLOOKUP(Table3[[#This Row],[damId]],Sheet1!$A$2:$M$970,11, FALSE), VLOOKUP(Table3[[#This Row],[dam]],Sheet1!$B$2:$M$970,11, FALSE))</f>
        <v>450000</v>
      </c>
      <c r="L96" s="3">
        <f>_xlfn.IFNA(VLOOKUP(Table3[[#This Row],[damId]],Sheet1!$A$2:$M$970,12, FALSE), VLOOKUP(Table3[[#This Row],[dam]],Sheet1!$B$2:$M$970,12, FALSE))</f>
        <v>0</v>
      </c>
      <c r="M96" s="3">
        <f>_xlfn.IFNA(VLOOKUP(Table3[[#This Row],[damId]],Sheet1!$A$2:$T$970,20, FALSE), VLOOKUP(Table3[[#This Row],[dam]],Sheet1!$B$2:$T$970,20, FALSE))*Sheet1!$AD$3</f>
        <v>139520.55000000002</v>
      </c>
      <c r="N96" s="3">
        <f>Table3[[#This Row],[Total 
income (Earnings + value - stud fee)]]-Table3[[#This Row],[Maintenance cost ]]</f>
        <v>10342.459999999999</v>
      </c>
      <c r="O96" s="3">
        <f>SUM(Table3[[#This Row],[income1]:[income12]])</f>
        <v>35000</v>
      </c>
      <c r="P96" s="3">
        <f>_xlfn.IFNA(VLOOKUP(Table3[[#This Row],[damId]],Sheet1!$A$2:$Y$970,23, FALSE), VLOOKUP(Table3[[#This Row],[dam]],Sheet1!$B$2:$Y$970,23, FALSE))*Sheet1!$AD$3</f>
        <v>24657.54</v>
      </c>
      <c r="Q96" s="3">
        <f>SUM(Table3[[#This Row],[earningsInRaces1]:[earningsInRaces12]])</f>
        <v>0</v>
      </c>
      <c r="R96" s="3">
        <f>SUM(Table3[[#This Row],[auctionPrice1]:[auctionPrice12]])</f>
        <v>35000</v>
      </c>
      <c r="S96" s="3">
        <f>SUM(Table3[[#This Row],[studFeeUSD1]:[studFeeUSD12]])</f>
        <v>0</v>
      </c>
      <c r="T96" s="7">
        <f>COUNT(Table3[[#This Row],[successfulService1]:[successfulService12]])</f>
        <v>1</v>
      </c>
      <c r="U96" s="7">
        <f>SUM(Table3[[#This Row],[successfulService1]:[successfulService12]])</f>
        <v>1</v>
      </c>
      <c r="V96" s="7">
        <f>SUM(Table3[[#This Row],[soldInAuction1]:[soldInAuction12]])</f>
        <v>1</v>
      </c>
      <c r="W96" s="7">
        <f>SUM(Table3[[#This Row],[foreignHorse1]:[foreignHorse12]])</f>
        <v>0</v>
      </c>
      <c r="X96" s="3">
        <v>35000</v>
      </c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>
        <v>0</v>
      </c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>
        <v>35000</v>
      </c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>
        <v>0</v>
      </c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1">
        <v>0</v>
      </c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>
        <v>1</v>
      </c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>
        <v>1</v>
      </c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>
        <v>0</v>
      </c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>
        <v>1</v>
      </c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</row>
    <row r="97" spans="1:131" x14ac:dyDescent="0.3">
      <c r="A97">
        <v>8839521</v>
      </c>
      <c r="B97" s="1" t="s">
        <v>350</v>
      </c>
      <c r="C97" s="1" t="s">
        <v>139</v>
      </c>
      <c r="D97" s="1">
        <v>2016</v>
      </c>
      <c r="E97" s="1">
        <v>1</v>
      </c>
      <c r="F97" s="10">
        <f>Table3[[#This Row],[First season 
with SF]]+Table3[[#This Row],['# Services 
provided]]</f>
        <v>2</v>
      </c>
      <c r="G97" s="26">
        <f>(Table3[[#This Row],[Total Income 
(Race + Price 
sold + Offs - maintenance cost)]]-Table3[[#This Row],[Price 
Bought]])/Table3[[#This Row],[Price 
Bought]]</f>
        <v>0.715561632</v>
      </c>
      <c r="H97" s="31">
        <f>Table3[[#This Row],[Race 
earnings]]+Table3[[#This Row],[Price 
Sold]]-Table3[[#This Row],[Maintenance cost]]+Table3[[#This Row],[Total 
profit (Income - cost)]]</f>
        <v>428890.408</v>
      </c>
      <c r="I97" s="3">
        <f>_xlfn.IFNA(VLOOKUP(Table3[[#This Row],[damId]],Sheet1!$A$2:$M$970,5, FALSE), VLOOKUP(Table3[[#This Row],[dam]],Sheet1!$B$2:$M$970,4, FALSE))</f>
        <v>0</v>
      </c>
      <c r="J97" s="3">
        <f>_xlfn.IFNA(VLOOKUP(Table3[[#This Row],[damId]],Sheet1!$A$2:$M$970,13, FALSE), VLOOKUP(Table3[[#This Row],[dam]],Sheet1!$B$2:$M$970,13, FALSE))</f>
        <v>200000</v>
      </c>
      <c r="K97" s="3">
        <f>_xlfn.IFNA(VLOOKUP(Table3[[#This Row],[damId]],Sheet1!$A$2:$M$970,11, FALSE), VLOOKUP(Table3[[#This Row],[dam]],Sheet1!$B$2:$M$970,11, FALSE))</f>
        <v>250000</v>
      </c>
      <c r="L97" s="3">
        <f>_xlfn.IFNA(VLOOKUP(Table3[[#This Row],[damId]],Sheet1!$A$2:$M$970,12, FALSE), VLOOKUP(Table3[[#This Row],[dam]],Sheet1!$B$2:$M$970,12, FALSE))</f>
        <v>450000</v>
      </c>
      <c r="M97" s="3">
        <f>_xlfn.IFNA(VLOOKUP(Table3[[#This Row],[damId]],Sheet1!$A$2:$T$970,20, FALSE), VLOOKUP(Table3[[#This Row],[dam]],Sheet1!$B$2:$T$970,20, FALSE))*Sheet1!$AD$3</f>
        <v>34684.934999999998</v>
      </c>
      <c r="N97" s="3">
        <f>Table3[[#This Row],[Total 
income (Earnings + value - stud fee)]]-Table3[[#This Row],[Maintenance cost ]]</f>
        <v>13575.343000000001</v>
      </c>
      <c r="O97" s="3">
        <f>SUM(Table3[[#This Row],[income1]:[income12]])</f>
        <v>25000</v>
      </c>
      <c r="P97" s="3">
        <f>_xlfn.IFNA(VLOOKUP(Table3[[#This Row],[damId]],Sheet1!$A$2:$Y$970,23, FALSE), VLOOKUP(Table3[[#This Row],[dam]],Sheet1!$B$2:$Y$970,23, FALSE))*Sheet1!$AD$3</f>
        <v>11424.656999999999</v>
      </c>
      <c r="Q97" s="3">
        <f>SUM(Table3[[#This Row],[earningsInRaces1]:[earningsInRaces12]])</f>
        <v>0</v>
      </c>
      <c r="R97" s="3">
        <f>SUM(Table3[[#This Row],[auctionPrice1]:[auctionPrice12]])</f>
        <v>45000</v>
      </c>
      <c r="S97" s="3">
        <f>SUM(Table3[[#This Row],[studFeeUSD1]:[studFeeUSD12]])</f>
        <v>-20000</v>
      </c>
      <c r="T97" s="7">
        <f>COUNT(Table3[[#This Row],[successfulService1]:[successfulService12]])</f>
        <v>1</v>
      </c>
      <c r="U97" s="7">
        <f>SUM(Table3[[#This Row],[successfulService1]:[successfulService12]])</f>
        <v>1</v>
      </c>
      <c r="V97" s="7">
        <f>SUM(Table3[[#This Row],[soldInAuction1]:[soldInAuction12]])</f>
        <v>1</v>
      </c>
      <c r="W97" s="7">
        <f>SUM(Table3[[#This Row],[foreignHorse1]:[foreignHorse12]])</f>
        <v>0</v>
      </c>
      <c r="X97" s="3">
        <v>25000</v>
      </c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>
        <v>0</v>
      </c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>
        <v>45000</v>
      </c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>
        <v>-20000</v>
      </c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1">
        <v>0</v>
      </c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>
        <v>1</v>
      </c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>
        <v>1</v>
      </c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>
        <v>0</v>
      </c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>
        <v>1</v>
      </c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</row>
    <row r="98" spans="1:131" x14ac:dyDescent="0.3">
      <c r="A98">
        <v>8877601</v>
      </c>
      <c r="B98" s="1" t="s">
        <v>384</v>
      </c>
      <c r="C98" s="1" t="s">
        <v>24</v>
      </c>
      <c r="D98" s="1">
        <v>2016</v>
      </c>
      <c r="E98" s="1">
        <v>1</v>
      </c>
      <c r="F98" s="10">
        <f>Table3[[#This Row],[First season 
with SF]]+Table3[[#This Row],['# Services 
provided]]</f>
        <v>2</v>
      </c>
      <c r="G98" s="26">
        <f>(Table3[[#This Row],[Total Income 
(Race + Price 
sold + Offs - maintenance cost)]]-Table3[[#This Row],[Price 
Bought]])/Table3[[#This Row],[Price 
Bought]]</f>
        <v>1.6178082499999999</v>
      </c>
      <c r="H98" s="31">
        <f>Table3[[#This Row],[Race 
earnings]]+Table3[[#This Row],[Price 
Sold]]-Table3[[#This Row],[Maintenance cost]]+Table3[[#This Row],[Total 
profit (Income - cost)]]</f>
        <v>392671.23749999999</v>
      </c>
      <c r="I98" s="3">
        <f>_xlfn.IFNA(VLOOKUP(Table3[[#This Row],[damId]],Sheet1!$A$2:$M$970,5, FALSE), VLOOKUP(Table3[[#This Row],[dam]],Sheet1!$B$2:$M$970,4, FALSE))</f>
        <v>0</v>
      </c>
      <c r="J98" s="3">
        <f>_xlfn.IFNA(VLOOKUP(Table3[[#This Row],[damId]],Sheet1!$A$2:$M$970,13, FALSE), VLOOKUP(Table3[[#This Row],[dam]],Sheet1!$B$2:$M$970,13, FALSE))</f>
        <v>50000</v>
      </c>
      <c r="K98" s="3">
        <f>_xlfn.IFNA(VLOOKUP(Table3[[#This Row],[damId]],Sheet1!$A$2:$M$970,11, FALSE), VLOOKUP(Table3[[#This Row],[dam]],Sheet1!$B$2:$M$970,11, FALSE))</f>
        <v>150000</v>
      </c>
      <c r="L98" s="3">
        <f>_xlfn.IFNA(VLOOKUP(Table3[[#This Row],[damId]],Sheet1!$A$2:$M$970,12, FALSE), VLOOKUP(Table3[[#This Row],[dam]],Sheet1!$B$2:$M$970,12, FALSE))</f>
        <v>200000</v>
      </c>
      <c r="M98" s="3">
        <f>_xlfn.IFNA(VLOOKUP(Table3[[#This Row],[damId]],Sheet1!$A$2:$T$970,20, FALSE), VLOOKUP(Table3[[#This Row],[dam]],Sheet1!$B$2:$T$970,20, FALSE))*Sheet1!$AD$3</f>
        <v>15246.57</v>
      </c>
      <c r="N98" s="3">
        <f>Table3[[#This Row],[Total 
income (Earnings + value - stud fee)]]-Table3[[#This Row],[Maintenance cost ]]</f>
        <v>207917.8075</v>
      </c>
      <c r="O98" s="3">
        <f>SUM(Table3[[#This Row],[income1]:[income12]])</f>
        <v>220000</v>
      </c>
      <c r="P98" s="3">
        <f>_xlfn.IFNA(VLOOKUP(Table3[[#This Row],[damId]],Sheet1!$A$2:$Y$970,23, FALSE), VLOOKUP(Table3[[#This Row],[dam]],Sheet1!$B$2:$Y$970,23, FALSE))*Sheet1!$AD$3</f>
        <v>12082.192500000001</v>
      </c>
      <c r="Q98" s="3">
        <f>SUM(Table3[[#This Row],[earningsInRaces1]:[earningsInRaces12]])</f>
        <v>0</v>
      </c>
      <c r="R98" s="3">
        <f>SUM(Table3[[#This Row],[auctionPrice1]:[auctionPrice12]])</f>
        <v>220000</v>
      </c>
      <c r="S98" s="3">
        <f>SUM(Table3[[#This Row],[studFeeUSD1]:[studFeeUSD12]])</f>
        <v>0</v>
      </c>
      <c r="T98" s="7">
        <f>COUNT(Table3[[#This Row],[successfulService1]:[successfulService12]])</f>
        <v>1</v>
      </c>
      <c r="U98" s="7">
        <f>SUM(Table3[[#This Row],[successfulService1]:[successfulService12]])</f>
        <v>1</v>
      </c>
      <c r="V98" s="7">
        <f>SUM(Table3[[#This Row],[soldInAuction1]:[soldInAuction12]])</f>
        <v>1</v>
      </c>
      <c r="W98" s="7">
        <f>SUM(Table3[[#This Row],[foreignHorse1]:[foreignHorse12]])</f>
        <v>0</v>
      </c>
      <c r="X98" s="3">
        <v>220000</v>
      </c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>
        <v>0</v>
      </c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>
        <v>220000</v>
      </c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>
        <v>0</v>
      </c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1">
        <v>0</v>
      </c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>
        <v>1</v>
      </c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>
        <v>1</v>
      </c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>
        <v>0</v>
      </c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>
        <v>1</v>
      </c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</row>
    <row r="99" spans="1:131" x14ac:dyDescent="0.3">
      <c r="A99">
        <v>9075403</v>
      </c>
      <c r="B99" s="1" t="s">
        <v>409</v>
      </c>
      <c r="C99" s="1" t="s">
        <v>139</v>
      </c>
      <c r="D99" s="1">
        <v>2016</v>
      </c>
      <c r="E99" s="1">
        <v>1</v>
      </c>
      <c r="F99" s="10">
        <f>Table3[[#This Row],[First season 
with SF]]+Table3[[#This Row],['# Services 
provided]]</f>
        <v>3</v>
      </c>
      <c r="G99" s="26">
        <f>(Table3[[#This Row],[Total Income 
(Race + Price 
sold + Offs - maintenance cost)]]-Table3[[#This Row],[Price 
Bought]])/Table3[[#This Row],[Price 
Bought]]</f>
        <v>0.15768644444444443</v>
      </c>
      <c r="H99" s="31">
        <f>Table3[[#This Row],[Race 
earnings]]+Table3[[#This Row],[Price 
Sold]]-Table3[[#This Row],[Maintenance cost]]+Table3[[#This Row],[Total 
profit (Income - cost)]]</f>
        <v>208383.56</v>
      </c>
      <c r="I99" s="3">
        <f>_xlfn.IFNA(VLOOKUP(Table3[[#This Row],[damId]],Sheet1!$A$2:$M$970,5, FALSE), VLOOKUP(Table3[[#This Row],[dam]],Sheet1!$B$2:$M$970,4, FALSE))</f>
        <v>0</v>
      </c>
      <c r="J99" s="3">
        <f>_xlfn.IFNA(VLOOKUP(Table3[[#This Row],[damId]],Sheet1!$A$2:$M$970,13, FALSE), VLOOKUP(Table3[[#This Row],[dam]],Sheet1!$B$2:$M$970,13, FALSE))</f>
        <v>20000</v>
      </c>
      <c r="K99" s="3">
        <f>_xlfn.IFNA(VLOOKUP(Table3[[#This Row],[damId]],Sheet1!$A$2:$M$970,11, FALSE), VLOOKUP(Table3[[#This Row],[dam]],Sheet1!$B$2:$M$970,11, FALSE))</f>
        <v>180000</v>
      </c>
      <c r="L99" s="3">
        <f>_xlfn.IFNA(VLOOKUP(Table3[[#This Row],[damId]],Sheet1!$A$2:$M$970,12, FALSE), VLOOKUP(Table3[[#This Row],[dam]],Sheet1!$B$2:$M$970,12, FALSE))</f>
        <v>200000</v>
      </c>
      <c r="M99" s="3">
        <f>_xlfn.IFNA(VLOOKUP(Table3[[#This Row],[damId]],Sheet1!$A$2:$T$970,20, FALSE), VLOOKUP(Table3[[#This Row],[dam]],Sheet1!$B$2:$T$970,20, FALSE))*Sheet1!$AD$3</f>
        <v>45205.485000000001</v>
      </c>
      <c r="N99" s="3">
        <f>Table3[[#This Row],[Total 
income (Earnings + value - stud fee)]]-Table3[[#This Row],[Maintenance cost ]]</f>
        <v>53589.044999999998</v>
      </c>
      <c r="O99" s="3">
        <f>SUM(Table3[[#This Row],[income1]:[income12]])</f>
        <v>75000</v>
      </c>
      <c r="P99" s="3">
        <f>_xlfn.IFNA(VLOOKUP(Table3[[#This Row],[damId]],Sheet1!$A$2:$Y$970,23, FALSE), VLOOKUP(Table3[[#This Row],[dam]],Sheet1!$B$2:$Y$970,23, FALSE))*Sheet1!$AD$3</f>
        <v>21410.955000000002</v>
      </c>
      <c r="Q99" s="3">
        <f>SUM(Table3[[#This Row],[earningsInRaces1]:[earningsInRaces12]])</f>
        <v>0</v>
      </c>
      <c r="R99" s="3">
        <f>SUM(Table3[[#This Row],[auctionPrice1]:[auctionPrice12]])</f>
        <v>220000</v>
      </c>
      <c r="S99" s="3">
        <f>SUM(Table3[[#This Row],[studFeeUSD1]:[studFeeUSD12]])</f>
        <v>-145000</v>
      </c>
      <c r="T99" s="7">
        <f>COUNT(Table3[[#This Row],[successfulService1]:[successfulService12]])</f>
        <v>2</v>
      </c>
      <c r="U99" s="7">
        <f>SUM(Table3[[#This Row],[successfulService1]:[successfulService12]])</f>
        <v>2</v>
      </c>
      <c r="V99" s="7">
        <f>SUM(Table3[[#This Row],[soldInAuction1]:[soldInAuction12]])</f>
        <v>1</v>
      </c>
      <c r="W99" s="7">
        <f>SUM(Table3[[#This Row],[foreignHorse1]:[foreignHorse12]])</f>
        <v>0</v>
      </c>
      <c r="X99" s="3">
        <v>-20000</v>
      </c>
      <c r="Y99" s="3">
        <v>95000</v>
      </c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>
        <v>220000</v>
      </c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>
        <v>-20000</v>
      </c>
      <c r="BI99" s="3">
        <v>-125000</v>
      </c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>
        <v>1</v>
      </c>
      <c r="CG99" s="1">
        <v>1</v>
      </c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>
        <v>0</v>
      </c>
      <c r="CS99" s="1">
        <v>1</v>
      </c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>
        <v>0</v>
      </c>
      <c r="DE99" s="1">
        <v>0</v>
      </c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>
        <v>1</v>
      </c>
      <c r="DQ99" s="1">
        <v>2</v>
      </c>
      <c r="DR99" s="1"/>
      <c r="DS99" s="1"/>
      <c r="DT99" s="1"/>
      <c r="DU99" s="1"/>
      <c r="DV99" s="1"/>
      <c r="DW99" s="1"/>
      <c r="DX99" s="1"/>
      <c r="DY99" s="1"/>
      <c r="DZ99" s="1"/>
      <c r="EA99" s="1"/>
    </row>
    <row r="100" spans="1:131" x14ac:dyDescent="0.3">
      <c r="A100">
        <v>9095371</v>
      </c>
      <c r="B100" s="1" t="s">
        <v>420</v>
      </c>
      <c r="C100" s="1" t="s">
        <v>139</v>
      </c>
      <c r="D100" s="1">
        <v>2016</v>
      </c>
      <c r="E100" s="1">
        <v>1</v>
      </c>
      <c r="F100" s="10">
        <f>Table3[[#This Row],[First season 
with SF]]+Table3[[#This Row],['# Services 
provided]]</f>
        <v>2</v>
      </c>
      <c r="G100" s="26">
        <f>(Table3[[#This Row],[Total Income 
(Race + Price 
sold + Offs - maintenance cost)]]-Table3[[#This Row],[Price 
Bought]])/Table3[[#This Row],[Price 
Bought]]</f>
        <v>0.77876714999999996</v>
      </c>
      <c r="H100" s="31">
        <f>Table3[[#This Row],[Race 
earnings]]+Table3[[#This Row],[Price 
Sold]]-Table3[[#This Row],[Maintenance cost]]+Table3[[#This Row],[Total 
profit (Income - cost)]]</f>
        <v>355753.43</v>
      </c>
      <c r="I100" s="3">
        <f>_xlfn.IFNA(VLOOKUP(Table3[[#This Row],[damId]],Sheet1!$A$2:$M$970,5, FALSE), VLOOKUP(Table3[[#This Row],[dam]],Sheet1!$B$2:$M$970,4, FALSE))</f>
        <v>0</v>
      </c>
      <c r="J100" s="3">
        <f>_xlfn.IFNA(VLOOKUP(Table3[[#This Row],[damId]],Sheet1!$A$2:$M$970,13, FALSE), VLOOKUP(Table3[[#This Row],[dam]],Sheet1!$B$2:$M$970,13, FALSE))</f>
        <v>200000</v>
      </c>
      <c r="K100" s="3">
        <f>_xlfn.IFNA(VLOOKUP(Table3[[#This Row],[damId]],Sheet1!$A$2:$M$970,11, FALSE), VLOOKUP(Table3[[#This Row],[dam]],Sheet1!$B$2:$M$970,11, FALSE))</f>
        <v>200000</v>
      </c>
      <c r="L100" s="3">
        <f>_xlfn.IFNA(VLOOKUP(Table3[[#This Row],[damId]],Sheet1!$A$2:$M$970,12, FALSE), VLOOKUP(Table3[[#This Row],[dam]],Sheet1!$B$2:$M$970,12, FALSE))</f>
        <v>400000</v>
      </c>
      <c r="M100" s="3">
        <f>_xlfn.IFNA(VLOOKUP(Table3[[#This Row],[damId]],Sheet1!$A$2:$T$970,20, FALSE), VLOOKUP(Table3[[#This Row],[dam]],Sheet1!$B$2:$T$970,20, FALSE))*Sheet1!$AD$3</f>
        <v>30246.57</v>
      </c>
      <c r="N100" s="3">
        <f>Table3[[#This Row],[Total 
income (Earnings + value - stud fee)]]-Table3[[#This Row],[Maintenance cost ]]</f>
        <v>-14000</v>
      </c>
      <c r="O100" s="3">
        <f>SUM(Table3[[#This Row],[income1]:[income12]])</f>
        <v>-14000</v>
      </c>
      <c r="P100" s="3">
        <f>_xlfn.IFNA(VLOOKUP(Table3[[#This Row],[damId]],Sheet1!$A$2:$Y$970,23, FALSE), VLOOKUP(Table3[[#This Row],[dam]],Sheet1!$B$2:$Y$970,23, FALSE))*Sheet1!$AD$3</f>
        <v>0</v>
      </c>
      <c r="Q100" s="3">
        <f>SUM(Table3[[#This Row],[earningsInRaces1]:[earningsInRaces12]])</f>
        <v>0</v>
      </c>
      <c r="R100" s="3">
        <f>SUM(Table3[[#This Row],[auctionPrice1]:[auctionPrice12]])</f>
        <v>1000</v>
      </c>
      <c r="S100" s="3">
        <f>SUM(Table3[[#This Row],[studFeeUSD1]:[studFeeUSD12]])</f>
        <v>-15000</v>
      </c>
      <c r="T100" s="7">
        <f>COUNT(Table3[[#This Row],[successfulService1]:[successfulService12]])</f>
        <v>1</v>
      </c>
      <c r="U100" s="7">
        <f>SUM(Table3[[#This Row],[successfulService1]:[successfulService12]])</f>
        <v>1</v>
      </c>
      <c r="V100" s="7">
        <f>SUM(Table3[[#This Row],[soldInAuction1]:[soldInAuction12]])</f>
        <v>1</v>
      </c>
      <c r="W100" s="7">
        <f>SUM(Table3[[#This Row],[foreignHorse1]:[foreignHorse12]])</f>
        <v>0</v>
      </c>
      <c r="X100" s="3">
        <v>-14000</v>
      </c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>
        <v>1000</v>
      </c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>
        <v>-15000</v>
      </c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>
        <v>1</v>
      </c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>
        <v>1</v>
      </c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>
        <v>0</v>
      </c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>
        <v>1</v>
      </c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</row>
    <row r="101" spans="1:131" x14ac:dyDescent="0.3">
      <c r="A101">
        <v>9169840</v>
      </c>
      <c r="B101" s="1" t="s">
        <v>454</v>
      </c>
      <c r="C101" s="1" t="s">
        <v>139</v>
      </c>
      <c r="D101" s="1">
        <v>2016</v>
      </c>
      <c r="E101" s="1">
        <v>1</v>
      </c>
      <c r="F101" s="10">
        <f>Table3[[#This Row],[First season 
with SF]]+Table3[[#This Row],['# Services 
provided]]</f>
        <v>2</v>
      </c>
      <c r="G101" s="26">
        <f>(Table3[[#This Row],[Total Income 
(Race + Price 
sold + Offs - maintenance cost)]]-Table3[[#This Row],[Price 
Bought]])/Table3[[#This Row],[Price 
Bought]]</f>
        <v>-1.5149668703703703</v>
      </c>
      <c r="H101" s="31">
        <f>Table3[[#This Row],[Race 
earnings]]+Table3[[#This Row],[Price 
Sold]]-Table3[[#This Row],[Maintenance cost]]+Table3[[#This Row],[Total 
profit (Income - cost)]]</f>
        <v>-13904.1055</v>
      </c>
      <c r="I101" s="3">
        <f>_xlfn.IFNA(VLOOKUP(Table3[[#This Row],[damId]],Sheet1!$A$2:$M$970,5, FALSE), VLOOKUP(Table3[[#This Row],[dam]],Sheet1!$B$2:$M$970,4, FALSE))</f>
        <v>0</v>
      </c>
      <c r="J101" s="3">
        <f>_xlfn.IFNA(VLOOKUP(Table3[[#This Row],[damId]],Sheet1!$A$2:$M$970,13, FALSE), VLOOKUP(Table3[[#This Row],[dam]],Sheet1!$B$2:$M$970,13, FALSE))</f>
        <v>-12000</v>
      </c>
      <c r="K101" s="3">
        <f>_xlfn.IFNA(VLOOKUP(Table3[[#This Row],[damId]],Sheet1!$A$2:$M$970,11, FALSE), VLOOKUP(Table3[[#This Row],[dam]],Sheet1!$B$2:$M$970,11, FALSE))</f>
        <v>27000</v>
      </c>
      <c r="L101" s="3">
        <f>_xlfn.IFNA(VLOOKUP(Table3[[#This Row],[damId]],Sheet1!$A$2:$M$970,12, FALSE), VLOOKUP(Table3[[#This Row],[dam]],Sheet1!$B$2:$M$970,12, FALSE))</f>
        <v>15000</v>
      </c>
      <c r="M101" s="3">
        <f>_xlfn.IFNA(VLOOKUP(Table3[[#This Row],[damId]],Sheet1!$A$2:$T$970,20, FALSE), VLOOKUP(Table3[[#This Row],[dam]],Sheet1!$B$2:$T$970,20, FALSE))*Sheet1!$AD$3</f>
        <v>25315.064999999999</v>
      </c>
      <c r="N101" s="3">
        <f>Table3[[#This Row],[Total 
income (Earnings + value - stud fee)]]-Table3[[#This Row],[Maintenance cost ]]</f>
        <v>-3589.040500000001</v>
      </c>
      <c r="O101" s="3">
        <f>SUM(Table3[[#This Row],[income1]:[income12]])</f>
        <v>5000</v>
      </c>
      <c r="P101" s="3">
        <f>_xlfn.IFNA(VLOOKUP(Table3[[#This Row],[damId]],Sheet1!$A$2:$Y$970,23, FALSE), VLOOKUP(Table3[[#This Row],[dam]],Sheet1!$B$2:$Y$970,23, FALSE))*Sheet1!$AD$3</f>
        <v>8589.040500000001</v>
      </c>
      <c r="Q101" s="3">
        <f>SUM(Table3[[#This Row],[earningsInRaces1]:[earningsInRaces12]])</f>
        <v>0</v>
      </c>
      <c r="R101" s="3">
        <f>SUM(Table3[[#This Row],[auctionPrice1]:[auctionPrice12]])</f>
        <v>25000</v>
      </c>
      <c r="S101" s="3">
        <f>SUM(Table3[[#This Row],[studFeeUSD1]:[studFeeUSD12]])</f>
        <v>-20000</v>
      </c>
      <c r="T101" s="7">
        <f>COUNT(Table3[[#This Row],[successfulService1]:[successfulService12]])</f>
        <v>1</v>
      </c>
      <c r="U101" s="7">
        <f>SUM(Table3[[#This Row],[successfulService1]:[successfulService12]])</f>
        <v>1</v>
      </c>
      <c r="V101" s="7">
        <f>SUM(Table3[[#This Row],[soldInAuction1]:[soldInAuction12]])</f>
        <v>1</v>
      </c>
      <c r="W101" s="7">
        <f>SUM(Table3[[#This Row],[foreignHorse1]:[foreignHorse12]])</f>
        <v>0</v>
      </c>
      <c r="X101" s="3">
        <v>5000</v>
      </c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>
        <v>0</v>
      </c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>
        <v>25000</v>
      </c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>
        <v>-20000</v>
      </c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1">
        <v>0</v>
      </c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>
        <v>1</v>
      </c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>
        <v>1</v>
      </c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>
        <v>0</v>
      </c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>
        <v>1</v>
      </c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</row>
    <row r="102" spans="1:131" x14ac:dyDescent="0.3">
      <c r="A102">
        <v>9323752</v>
      </c>
      <c r="B102" s="1" t="s">
        <v>509</v>
      </c>
      <c r="C102" s="1" t="s">
        <v>24</v>
      </c>
      <c r="D102" s="1">
        <v>2016</v>
      </c>
      <c r="E102" s="1">
        <v>1</v>
      </c>
      <c r="F102" s="10">
        <f>Table3[[#This Row],[First season 
with SF]]+Table3[[#This Row],['# Services 
provided]]</f>
        <v>2</v>
      </c>
      <c r="G102" s="26">
        <f>(Table3[[#This Row],[Total Income 
(Race + Price 
sold + Offs - maintenance cost)]]-Table3[[#This Row],[Price 
Bought]])/Table3[[#This Row],[Price 
Bought]]</f>
        <v>-0.80493139999999996</v>
      </c>
      <c r="H102" s="31">
        <f>Table3[[#This Row],[Race 
earnings]]+Table3[[#This Row],[Price 
Sold]]-Table3[[#This Row],[Maintenance cost]]+Table3[[#This Row],[Total 
profit (Income - cost)]]</f>
        <v>14630.145</v>
      </c>
      <c r="I102" s="3">
        <f>_xlfn.IFNA(VLOOKUP(Table3[[#This Row],[damId]],Sheet1!$A$2:$M$970,5, FALSE), VLOOKUP(Table3[[#This Row],[dam]],Sheet1!$B$2:$M$970,4, FALSE))</f>
        <v>0</v>
      </c>
      <c r="J102" s="3">
        <f>_xlfn.IFNA(VLOOKUP(Table3[[#This Row],[damId]],Sheet1!$A$2:$M$970,13, FALSE), VLOOKUP(Table3[[#This Row],[dam]],Sheet1!$B$2:$M$970,13, FALSE))</f>
        <v>-45000</v>
      </c>
      <c r="K102" s="3">
        <f>_xlfn.IFNA(VLOOKUP(Table3[[#This Row],[damId]],Sheet1!$A$2:$M$970,11, FALSE), VLOOKUP(Table3[[#This Row],[dam]],Sheet1!$B$2:$M$970,11, FALSE))</f>
        <v>75000</v>
      </c>
      <c r="L102" s="3">
        <f>_xlfn.IFNA(VLOOKUP(Table3[[#This Row],[damId]],Sheet1!$A$2:$M$970,12, FALSE), VLOOKUP(Table3[[#This Row],[dam]],Sheet1!$B$2:$M$970,12, FALSE))</f>
        <v>30000</v>
      </c>
      <c r="M102" s="3">
        <f>_xlfn.IFNA(VLOOKUP(Table3[[#This Row],[damId]],Sheet1!$A$2:$T$970,20, FALSE), VLOOKUP(Table3[[#This Row],[dam]],Sheet1!$B$2:$T$970,20, FALSE))*Sheet1!$AD$3</f>
        <v>15369.855</v>
      </c>
      <c r="N102" s="3">
        <f>Table3[[#This Row],[Total 
income (Earnings + value - stud fee)]]-Table3[[#This Row],[Maintenance cost ]]</f>
        <v>0</v>
      </c>
      <c r="O102" s="3">
        <f>SUM(Table3[[#This Row],[income1]:[income12]])</f>
        <v>0</v>
      </c>
      <c r="P102" s="3">
        <f>_xlfn.IFNA(VLOOKUP(Table3[[#This Row],[damId]],Sheet1!$A$2:$Y$970,23, FALSE), VLOOKUP(Table3[[#This Row],[dam]],Sheet1!$B$2:$Y$970,23, FALSE))*Sheet1!$AD$3</f>
        <v>0</v>
      </c>
      <c r="Q102" s="3">
        <f>SUM(Table3[[#This Row],[earningsInRaces1]:[earningsInRaces12]])</f>
        <v>0</v>
      </c>
      <c r="R102" s="3">
        <f>SUM(Table3[[#This Row],[auctionPrice1]:[auctionPrice12]])</f>
        <v>0</v>
      </c>
      <c r="S102" s="3">
        <f>SUM(Table3[[#This Row],[studFeeUSD1]:[studFeeUSD12]])</f>
        <v>0</v>
      </c>
      <c r="T102" s="7">
        <f>COUNT(Table3[[#This Row],[successfulService1]:[successfulService12]])</f>
        <v>1</v>
      </c>
      <c r="U102" s="7">
        <f>SUM(Table3[[#This Row],[successfulService1]:[successfulService12]])</f>
        <v>1</v>
      </c>
      <c r="V102" s="7">
        <f>SUM(Table3[[#This Row],[soldInAuction1]:[soldInAuction12]])</f>
        <v>0</v>
      </c>
      <c r="W102" s="7">
        <f>SUM(Table3[[#This Row],[foreignHorse1]:[foreignHorse12]])</f>
        <v>0</v>
      </c>
      <c r="X102" s="3">
        <v>0</v>
      </c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>
        <v>0</v>
      </c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>
        <v>1</v>
      </c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>
        <v>0</v>
      </c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>
        <v>0</v>
      </c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>
        <v>1</v>
      </c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</row>
    <row r="103" spans="1:131" x14ac:dyDescent="0.3">
      <c r="A103">
        <v>6163506</v>
      </c>
      <c r="B103" s="1" t="s">
        <v>89</v>
      </c>
      <c r="C103" s="1" t="s">
        <v>24</v>
      </c>
      <c r="D103" s="1">
        <v>2017</v>
      </c>
      <c r="E103" s="1">
        <v>10</v>
      </c>
      <c r="F103" s="10">
        <f>Table3[[#This Row],[First season 
with SF]]+Table3[[#This Row],['# Services 
provided]]</f>
        <v>17</v>
      </c>
      <c r="G103" s="26">
        <f>(Table3[[#This Row],[Total Income 
(Race + Price 
sold + Offs - maintenance cost)]]-Table3[[#This Row],[Price 
Bought]])/Table3[[#This Row],[Price 
Bought]]</f>
        <v>0.59412921428571408</v>
      </c>
      <c r="H103" s="31">
        <f>Table3[[#This Row],[Race 
earnings]]+Table3[[#This Row],[Price 
Sold]]-Table3[[#This Row],[Maintenance cost]]+Table3[[#This Row],[Total 
profit (Income - cost)]]</f>
        <v>111589.04499999998</v>
      </c>
      <c r="I103" s="3">
        <f>_xlfn.IFNA(VLOOKUP(Table3[[#This Row],[damId]],Sheet1!$A$2:$M$970,5, FALSE), VLOOKUP(Table3[[#This Row],[dam]],Sheet1!$B$2:$M$970,4, FALSE))</f>
        <v>0</v>
      </c>
      <c r="J103" s="3">
        <f>_xlfn.IFNA(VLOOKUP(Table3[[#This Row],[damId]],Sheet1!$A$2:$M$970,13, FALSE), VLOOKUP(Table3[[#This Row],[dam]],Sheet1!$B$2:$M$970,13, FALSE))</f>
        <v>-70000</v>
      </c>
      <c r="K103" s="3">
        <f>_xlfn.IFNA(VLOOKUP(Table3[[#This Row],[damId]],Sheet1!$A$2:$M$970,11, FALSE), VLOOKUP(Table3[[#This Row],[dam]],Sheet1!$B$2:$M$970,11, FALSE))</f>
        <v>70000</v>
      </c>
      <c r="L103" s="3">
        <f>_xlfn.IFNA(VLOOKUP(Table3[[#This Row],[damId]],Sheet1!$A$2:$M$970,12, FALSE), VLOOKUP(Table3[[#This Row],[dam]],Sheet1!$B$2:$M$970,12, FALSE))</f>
        <v>0</v>
      </c>
      <c r="M103" s="3">
        <f>_xlfn.IFNA(VLOOKUP(Table3[[#This Row],[damId]],Sheet1!$A$2:$T$970,20, FALSE), VLOOKUP(Table3[[#This Row],[dam]],Sheet1!$B$2:$T$970,20, FALSE))*Sheet1!$AD$3</f>
        <v>124232.88</v>
      </c>
      <c r="N103" s="3">
        <f>Table3[[#This Row],[Total 
income (Earnings + value - stud fee)]]-Table3[[#This Row],[Maintenance cost ]]</f>
        <v>235821.92499999999</v>
      </c>
      <c r="O103" s="3">
        <f>SUM(Table3[[#This Row],[income1]:[income12]])</f>
        <v>280000</v>
      </c>
      <c r="P103" s="3">
        <f>_xlfn.IFNA(VLOOKUP(Table3[[#This Row],[damId]],Sheet1!$A$2:$Y$970,23, FALSE), VLOOKUP(Table3[[#This Row],[dam]],Sheet1!$B$2:$Y$970,23, FALSE))*Sheet1!$AD$3</f>
        <v>44178.075000000004</v>
      </c>
      <c r="Q103" s="3">
        <f>SUM(Table3[[#This Row],[earningsInRaces1]:[earningsInRaces12]])</f>
        <v>0</v>
      </c>
      <c r="R103" s="3">
        <f>SUM(Table3[[#This Row],[auctionPrice1]:[auctionPrice12]])</f>
        <v>645000</v>
      </c>
      <c r="S103" s="3">
        <f>SUM(Table3[[#This Row],[studFeeUSD1]:[studFeeUSD12]])</f>
        <v>-365000</v>
      </c>
      <c r="T103" s="7">
        <f>COUNT(Table3[[#This Row],[successfulService1]:[successfulService12]])</f>
        <v>7</v>
      </c>
      <c r="U103" s="7">
        <f>SUM(Table3[[#This Row],[successfulService1]:[successfulService12]])</f>
        <v>3</v>
      </c>
      <c r="V103" s="7">
        <f>SUM(Table3[[#This Row],[soldInAuction1]:[soldInAuction12]])</f>
        <v>2</v>
      </c>
      <c r="W103" s="7">
        <f>SUM(Table3[[#This Row],[foreignHorse1]:[foreignHorse12]])</f>
        <v>0</v>
      </c>
      <c r="X103" s="3">
        <v>600000</v>
      </c>
      <c r="Y103" s="3">
        <v>-10000</v>
      </c>
      <c r="Z103" s="3">
        <v>-100000</v>
      </c>
      <c r="AA103" s="3">
        <v>-105000</v>
      </c>
      <c r="AB103" s="3">
        <v>-25000</v>
      </c>
      <c r="AC103" s="3">
        <v>-30000</v>
      </c>
      <c r="AD103" s="3">
        <v>-50000</v>
      </c>
      <c r="AE103" s="3"/>
      <c r="AF103" s="3"/>
      <c r="AG103" s="3"/>
      <c r="AH103" s="3"/>
      <c r="AI103" s="3"/>
      <c r="AJ103" s="3">
        <v>0</v>
      </c>
      <c r="AK103" s="3"/>
      <c r="AL103" s="3"/>
      <c r="AM103" s="3">
        <v>0</v>
      </c>
      <c r="AN103" s="3"/>
      <c r="AO103" s="3"/>
      <c r="AP103" s="3"/>
      <c r="AQ103" s="3"/>
      <c r="AR103" s="3"/>
      <c r="AS103" s="3"/>
      <c r="AT103" s="3"/>
      <c r="AU103" s="3"/>
      <c r="AV103" s="3">
        <v>600000</v>
      </c>
      <c r="AW103" s="3"/>
      <c r="AX103" s="3"/>
      <c r="AY103" s="3">
        <v>45000</v>
      </c>
      <c r="AZ103" s="3"/>
      <c r="BA103" s="3"/>
      <c r="BB103" s="3"/>
      <c r="BC103" s="3"/>
      <c r="BD103" s="3"/>
      <c r="BE103" s="3"/>
      <c r="BF103" s="3"/>
      <c r="BG103" s="3"/>
      <c r="BH103" s="3">
        <v>0</v>
      </c>
      <c r="BI103" s="3">
        <v>-10000</v>
      </c>
      <c r="BJ103" s="3">
        <v>-100000</v>
      </c>
      <c r="BK103" s="3">
        <v>-150000</v>
      </c>
      <c r="BL103" s="3">
        <v>-25000</v>
      </c>
      <c r="BM103" s="3">
        <v>-30000</v>
      </c>
      <c r="BN103" s="3">
        <v>-50000</v>
      </c>
      <c r="BO103" s="3"/>
      <c r="BP103" s="3"/>
      <c r="BQ103" s="3"/>
      <c r="BR103" s="3"/>
      <c r="BS103" s="3"/>
      <c r="BT103" s="1">
        <v>0</v>
      </c>
      <c r="BU103" s="1"/>
      <c r="BV103" s="1"/>
      <c r="BW103" s="1">
        <v>0</v>
      </c>
      <c r="BX103" s="1"/>
      <c r="BY103" s="1"/>
      <c r="BZ103" s="1"/>
      <c r="CA103" s="1"/>
      <c r="CB103" s="1"/>
      <c r="CC103" s="1"/>
      <c r="CD103" s="1"/>
      <c r="CE103" s="1"/>
      <c r="CF103" s="1">
        <v>1</v>
      </c>
      <c r="CG103" s="1">
        <v>0</v>
      </c>
      <c r="CH103" s="1">
        <v>0</v>
      </c>
      <c r="CI103" s="1">
        <v>1</v>
      </c>
      <c r="CJ103" s="1">
        <v>0</v>
      </c>
      <c r="CK103" s="1">
        <v>0</v>
      </c>
      <c r="CL103" s="1">
        <v>1</v>
      </c>
      <c r="CM103" s="1"/>
      <c r="CN103" s="1"/>
      <c r="CO103" s="1"/>
      <c r="CP103" s="1"/>
      <c r="CQ103" s="1"/>
      <c r="CR103" s="1">
        <v>1</v>
      </c>
      <c r="CS103" s="1">
        <v>0</v>
      </c>
      <c r="CT103" s="1">
        <v>0</v>
      </c>
      <c r="CU103" s="1">
        <v>1</v>
      </c>
      <c r="CV103" s="1">
        <v>0</v>
      </c>
      <c r="CW103" s="1">
        <v>0</v>
      </c>
      <c r="CX103" s="1">
        <v>0</v>
      </c>
      <c r="CY103" s="1"/>
      <c r="CZ103" s="1"/>
      <c r="DA103" s="1"/>
      <c r="DB103" s="1"/>
      <c r="DC103" s="1"/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/>
      <c r="DL103" s="1"/>
      <c r="DM103" s="1"/>
      <c r="DN103" s="1"/>
      <c r="DO103" s="1"/>
      <c r="DP103" s="1">
        <v>10</v>
      </c>
      <c r="DQ103" s="1">
        <v>11</v>
      </c>
      <c r="DR103" s="1">
        <v>12</v>
      </c>
      <c r="DS103" s="1">
        <v>13</v>
      </c>
      <c r="DT103" s="1">
        <v>14</v>
      </c>
      <c r="DU103" s="1">
        <v>15</v>
      </c>
      <c r="DV103" s="1">
        <v>16</v>
      </c>
      <c r="DW103" s="1"/>
      <c r="DX103" s="1"/>
      <c r="DY103" s="1"/>
      <c r="DZ103" s="1"/>
      <c r="EA103" s="1"/>
    </row>
    <row r="104" spans="1:131" x14ac:dyDescent="0.3">
      <c r="A104">
        <v>6488449</v>
      </c>
      <c r="B104" s="1" t="s">
        <v>99</v>
      </c>
      <c r="C104" s="1" t="s">
        <v>24</v>
      </c>
      <c r="D104" s="1">
        <v>2017</v>
      </c>
      <c r="E104" s="1">
        <v>10</v>
      </c>
      <c r="F104" s="10">
        <f>Table3[[#This Row],[First season 
with SF]]+Table3[[#This Row],['# Services 
provided]]</f>
        <v>15</v>
      </c>
      <c r="G104" s="26">
        <f>(Table3[[#This Row],[Total Income 
(Race + Price 
sold + Offs - maintenance cost)]]-Table3[[#This Row],[Price 
Bought]])/Table3[[#This Row],[Price 
Bought]]</f>
        <v>-2.4096211764705884</v>
      </c>
      <c r="H104" s="31">
        <f>Table3[[#This Row],[Race 
earnings]]+Table3[[#This Row],[Price 
Sold]]-Table3[[#This Row],[Maintenance cost]]+Table3[[#This Row],[Total 
profit (Income - cost)]]</f>
        <v>-119817.80000000002</v>
      </c>
      <c r="I104" s="3">
        <f>_xlfn.IFNA(VLOOKUP(Table3[[#This Row],[damId]],Sheet1!$A$2:$M$970,5, FALSE), VLOOKUP(Table3[[#This Row],[dam]],Sheet1!$B$2:$M$970,4, FALSE))</f>
        <v>0</v>
      </c>
      <c r="J104" s="3">
        <f>_xlfn.IFNA(VLOOKUP(Table3[[#This Row],[damId]],Sheet1!$A$2:$M$970,13, FALSE), VLOOKUP(Table3[[#This Row],[dam]],Sheet1!$B$2:$M$970,13, FALSE))</f>
        <v>-85000</v>
      </c>
      <c r="K104" s="3">
        <f>_xlfn.IFNA(VLOOKUP(Table3[[#This Row],[damId]],Sheet1!$A$2:$M$970,11, FALSE), VLOOKUP(Table3[[#This Row],[dam]],Sheet1!$B$2:$M$970,11, FALSE))</f>
        <v>85000</v>
      </c>
      <c r="L104" s="3">
        <f>_xlfn.IFNA(VLOOKUP(Table3[[#This Row],[damId]],Sheet1!$A$2:$M$970,12, FALSE), VLOOKUP(Table3[[#This Row],[dam]],Sheet1!$B$2:$M$970,12, FALSE))</f>
        <v>0</v>
      </c>
      <c r="M104" s="3">
        <f>_xlfn.IFNA(VLOOKUP(Table3[[#This Row],[damId]],Sheet1!$A$2:$T$970,20, FALSE), VLOOKUP(Table3[[#This Row],[dam]],Sheet1!$B$2:$T$970,20, FALSE))*Sheet1!$AD$3</f>
        <v>124273.96500000001</v>
      </c>
      <c r="N104" s="3">
        <f>Table3[[#This Row],[Total 
income (Earnings + value - stud fee)]]-Table3[[#This Row],[Maintenance cost ]]</f>
        <v>4456.1650000000009</v>
      </c>
      <c r="O104" s="3">
        <f>SUM(Table3[[#This Row],[income1]:[income12]])</f>
        <v>66100</v>
      </c>
      <c r="P104" s="3">
        <f>_xlfn.IFNA(VLOOKUP(Table3[[#This Row],[damId]],Sheet1!$A$2:$Y$970,23, FALSE), VLOOKUP(Table3[[#This Row],[dam]],Sheet1!$B$2:$Y$970,23, FALSE))*Sheet1!$AD$3</f>
        <v>61643.834999999999</v>
      </c>
      <c r="Q104" s="3">
        <f>SUM(Table3[[#This Row],[earningsInRaces1]:[earningsInRaces12]])</f>
        <v>24100</v>
      </c>
      <c r="R104" s="3">
        <f>SUM(Table3[[#This Row],[auctionPrice1]:[auctionPrice12]])</f>
        <v>127000</v>
      </c>
      <c r="S104" s="3">
        <f>SUM(Table3[[#This Row],[studFeeUSD1]:[studFeeUSD12]])</f>
        <v>-85000</v>
      </c>
      <c r="T104" s="7">
        <f>COUNT(Table3[[#This Row],[successfulService1]:[successfulService12]])</f>
        <v>5</v>
      </c>
      <c r="U104" s="7">
        <f>SUM(Table3[[#This Row],[successfulService1]:[successfulService12]])</f>
        <v>2</v>
      </c>
      <c r="V104" s="7">
        <f>SUM(Table3[[#This Row],[soldInAuction1]:[soldInAuction12]])</f>
        <v>2</v>
      </c>
      <c r="W104" s="7">
        <f>SUM(Table3[[#This Row],[foreignHorse1]:[foreignHorse12]])</f>
        <v>0</v>
      </c>
      <c r="X104" s="3">
        <v>61100</v>
      </c>
      <c r="Y104" s="3">
        <v>70000</v>
      </c>
      <c r="Z104" s="3">
        <v>-20000</v>
      </c>
      <c r="AA104" s="3">
        <v>-20000</v>
      </c>
      <c r="AB104" s="3">
        <v>-25000</v>
      </c>
      <c r="AC104" s="3"/>
      <c r="AD104" s="3"/>
      <c r="AE104" s="3"/>
      <c r="AF104" s="3"/>
      <c r="AG104" s="3"/>
      <c r="AH104" s="3"/>
      <c r="AI104" s="3"/>
      <c r="AJ104" s="3">
        <v>24100</v>
      </c>
      <c r="AK104" s="3">
        <v>0</v>
      </c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>
        <v>37000</v>
      </c>
      <c r="AW104" s="3">
        <v>90000</v>
      </c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>
        <v>0</v>
      </c>
      <c r="BI104" s="3">
        <v>-20000</v>
      </c>
      <c r="BJ104" s="3">
        <v>-20000</v>
      </c>
      <c r="BK104" s="3">
        <v>-20000</v>
      </c>
      <c r="BL104" s="3">
        <v>-25000</v>
      </c>
      <c r="BM104" s="3"/>
      <c r="BN104" s="3"/>
      <c r="BO104" s="3"/>
      <c r="BP104" s="3"/>
      <c r="BQ104" s="3"/>
      <c r="BR104" s="3"/>
      <c r="BS104" s="3"/>
      <c r="BT104" s="1">
        <v>1</v>
      </c>
      <c r="BU104" s="1">
        <v>0</v>
      </c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>
        <v>1</v>
      </c>
      <c r="CG104" s="1">
        <v>1</v>
      </c>
      <c r="CH104" s="1">
        <v>0</v>
      </c>
      <c r="CI104" s="1">
        <v>0</v>
      </c>
      <c r="CJ104" s="1">
        <v>0</v>
      </c>
      <c r="CK104" s="1"/>
      <c r="CL104" s="1"/>
      <c r="CM104" s="1"/>
      <c r="CN104" s="1"/>
      <c r="CO104" s="1"/>
      <c r="CP104" s="1"/>
      <c r="CQ104" s="1"/>
      <c r="CR104" s="1">
        <v>1</v>
      </c>
      <c r="CS104" s="1">
        <v>1</v>
      </c>
      <c r="CT104" s="1">
        <v>0</v>
      </c>
      <c r="CU104" s="1">
        <v>0</v>
      </c>
      <c r="CV104" s="1">
        <v>0</v>
      </c>
      <c r="CW104" s="1"/>
      <c r="CX104" s="1"/>
      <c r="CY104" s="1"/>
      <c r="CZ104" s="1"/>
      <c r="DA104" s="1"/>
      <c r="DB104" s="1"/>
      <c r="DC104" s="1"/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/>
      <c r="DJ104" s="1"/>
      <c r="DK104" s="1"/>
      <c r="DL104" s="1"/>
      <c r="DM104" s="1"/>
      <c r="DN104" s="1"/>
      <c r="DO104" s="1"/>
      <c r="DP104" s="1">
        <v>10</v>
      </c>
      <c r="DQ104" s="1">
        <v>11</v>
      </c>
      <c r="DR104" s="1">
        <v>12</v>
      </c>
      <c r="DS104" s="1">
        <v>13</v>
      </c>
      <c r="DT104" s="1">
        <v>14</v>
      </c>
      <c r="DU104" s="1"/>
      <c r="DV104" s="1"/>
      <c r="DW104" s="1"/>
      <c r="DX104" s="1"/>
      <c r="DY104" s="1"/>
      <c r="DZ104" s="1"/>
      <c r="EA104" s="1"/>
    </row>
    <row r="105" spans="1:131" x14ac:dyDescent="0.3">
      <c r="A105">
        <v>6800339</v>
      </c>
      <c r="B105" s="1" t="s">
        <v>115</v>
      </c>
      <c r="C105" s="1" t="s">
        <v>24</v>
      </c>
      <c r="D105" s="1">
        <v>2017</v>
      </c>
      <c r="E105" s="1">
        <v>11</v>
      </c>
      <c r="F105" s="10">
        <f>Table3[[#This Row],[First season 
with SF]]+Table3[[#This Row],['# Services 
provided]]</f>
        <v>13</v>
      </c>
      <c r="G105" s="26">
        <f>(Table3[[#This Row],[Total Income 
(Race + Price 
sold + Offs - maintenance cost)]]-Table3[[#This Row],[Price 
Bought]])/Table3[[#This Row],[Price 
Bought]]</f>
        <v>-0.6594021681818184</v>
      </c>
      <c r="H105" s="31">
        <f>Table3[[#This Row],[Race 
earnings]]+Table3[[#This Row],[Price 
Sold]]-Table3[[#This Row],[Maintenance cost]]+Table3[[#This Row],[Total 
profit (Income - cost)]]</f>
        <v>37465.761499999979</v>
      </c>
      <c r="I105" s="3">
        <f>_xlfn.IFNA(VLOOKUP(Table3[[#This Row],[damId]],Sheet1!$A$2:$M$970,5, FALSE), VLOOKUP(Table3[[#This Row],[dam]],Sheet1!$B$2:$M$970,4, FALSE))</f>
        <v>0</v>
      </c>
      <c r="J105" s="3">
        <f>_xlfn.IFNA(VLOOKUP(Table3[[#This Row],[damId]],Sheet1!$A$2:$M$970,13, FALSE), VLOOKUP(Table3[[#This Row],[dam]],Sheet1!$B$2:$M$970,13, FALSE))</f>
        <v>-110000</v>
      </c>
      <c r="K105" s="3">
        <f>_xlfn.IFNA(VLOOKUP(Table3[[#This Row],[damId]],Sheet1!$A$2:$M$970,11, FALSE), VLOOKUP(Table3[[#This Row],[dam]],Sheet1!$B$2:$M$970,11, FALSE))</f>
        <v>110000</v>
      </c>
      <c r="L105" s="3">
        <f>_xlfn.IFNA(VLOOKUP(Table3[[#This Row],[damId]],Sheet1!$A$2:$M$970,12, FALSE), VLOOKUP(Table3[[#This Row],[dam]],Sheet1!$B$2:$M$970,12, FALSE))</f>
        <v>0</v>
      </c>
      <c r="M105" s="3">
        <f>_xlfn.IFNA(VLOOKUP(Table3[[#This Row],[damId]],Sheet1!$A$2:$T$970,20, FALSE), VLOOKUP(Table3[[#This Row],[dam]],Sheet1!$B$2:$T$970,20, FALSE))*Sheet1!$AD$3</f>
        <v>124273.96500000001</v>
      </c>
      <c r="N105" s="3">
        <f>Table3[[#This Row],[Total 
income (Earnings + value - stud fee)]]-Table3[[#This Row],[Maintenance cost ]]</f>
        <v>161739.72649999999</v>
      </c>
      <c r="O105" s="3">
        <f>SUM(Table3[[#This Row],[income1]:[income12]])</f>
        <v>170000</v>
      </c>
      <c r="P105" s="3">
        <f>_xlfn.IFNA(VLOOKUP(Table3[[#This Row],[damId]],Sheet1!$A$2:$Y$970,23, FALSE), VLOOKUP(Table3[[#This Row],[dam]],Sheet1!$B$2:$Y$970,23, FALSE))*Sheet1!$AD$3</f>
        <v>8260.2735000000011</v>
      </c>
      <c r="Q105" s="3">
        <f>SUM(Table3[[#This Row],[earningsInRaces1]:[earningsInRaces12]])</f>
        <v>0</v>
      </c>
      <c r="R105" s="3">
        <f>SUM(Table3[[#This Row],[auctionPrice1]:[auctionPrice12]])</f>
        <v>190000</v>
      </c>
      <c r="S105" s="3">
        <f>SUM(Table3[[#This Row],[studFeeUSD1]:[studFeeUSD12]])</f>
        <v>-20000</v>
      </c>
      <c r="T105" s="7">
        <f>COUNT(Table3[[#This Row],[successfulService1]:[successfulService12]])</f>
        <v>2</v>
      </c>
      <c r="U105" s="7">
        <f>SUM(Table3[[#This Row],[successfulService1]:[successfulService12]])</f>
        <v>1</v>
      </c>
      <c r="V105" s="7">
        <f>SUM(Table3[[#This Row],[soldInAuction1]:[soldInAuction12]])</f>
        <v>1</v>
      </c>
      <c r="W105" s="7">
        <f>SUM(Table3[[#This Row],[foreignHorse1]:[foreignHorse12]])</f>
        <v>0</v>
      </c>
      <c r="X105" s="3">
        <v>190000</v>
      </c>
      <c r="Y105" s="3">
        <v>-20000</v>
      </c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>
        <v>0</v>
      </c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>
        <v>190000</v>
      </c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>
        <v>0</v>
      </c>
      <c r="BI105" s="3">
        <v>-20000</v>
      </c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1">
        <v>0</v>
      </c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>
        <v>1</v>
      </c>
      <c r="CG105" s="1">
        <v>0</v>
      </c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>
        <v>1</v>
      </c>
      <c r="CS105" s="1">
        <v>0</v>
      </c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>
        <v>0</v>
      </c>
      <c r="DE105" s="1">
        <v>0</v>
      </c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>
        <v>11</v>
      </c>
      <c r="DQ105" s="1">
        <v>12</v>
      </c>
      <c r="DR105" s="1"/>
      <c r="DS105" s="1"/>
      <c r="DT105" s="1"/>
      <c r="DU105" s="1"/>
      <c r="DV105" s="1"/>
      <c r="DW105" s="1"/>
      <c r="DX105" s="1"/>
      <c r="DY105" s="1"/>
      <c r="DZ105" s="1"/>
      <c r="EA105" s="1"/>
    </row>
    <row r="106" spans="1:131" x14ac:dyDescent="0.3">
      <c r="A106">
        <v>6865801</v>
      </c>
      <c r="B106" s="1" t="s">
        <v>127</v>
      </c>
      <c r="C106" s="1" t="s">
        <v>24</v>
      </c>
      <c r="D106" s="1">
        <v>2017</v>
      </c>
      <c r="E106" s="1">
        <v>10</v>
      </c>
      <c r="F106" s="10">
        <f>Table3[[#This Row],[First season 
with SF]]+Table3[[#This Row],['# Services 
provided]]</f>
        <v>20</v>
      </c>
      <c r="G106" s="26">
        <f>(Table3[[#This Row],[Total Income 
(Race + Price 
sold + Offs - maintenance cost)]]-Table3[[#This Row],[Price 
Bought]])/Table3[[#This Row],[Price 
Bought]]</f>
        <v>-0.50315070000000006</v>
      </c>
      <c r="H106" s="31">
        <f>Table3[[#This Row],[Race 
earnings]]+Table3[[#This Row],[Price 
Sold]]-Table3[[#This Row],[Maintenance cost]]+Table3[[#This Row],[Total 
profit (Income - cost)]]</f>
        <v>74527.39499999999</v>
      </c>
      <c r="I106" s="3">
        <f>_xlfn.IFNA(VLOOKUP(Table3[[#This Row],[damId]],Sheet1!$A$2:$M$970,5, FALSE), VLOOKUP(Table3[[#This Row],[dam]],Sheet1!$B$2:$M$970,4, FALSE))</f>
        <v>0</v>
      </c>
      <c r="J106" s="3">
        <f>_xlfn.IFNA(VLOOKUP(Table3[[#This Row],[damId]],Sheet1!$A$2:$M$970,13, FALSE), VLOOKUP(Table3[[#This Row],[dam]],Sheet1!$B$2:$M$970,13, FALSE))</f>
        <v>-150000</v>
      </c>
      <c r="K106" s="3">
        <f>_xlfn.IFNA(VLOOKUP(Table3[[#This Row],[damId]],Sheet1!$A$2:$M$970,11, FALSE), VLOOKUP(Table3[[#This Row],[dam]],Sheet1!$B$2:$M$970,11, FALSE))</f>
        <v>150000</v>
      </c>
      <c r="L106" s="3">
        <f>_xlfn.IFNA(VLOOKUP(Table3[[#This Row],[damId]],Sheet1!$A$2:$M$970,12, FALSE), VLOOKUP(Table3[[#This Row],[dam]],Sheet1!$B$2:$M$970,12, FALSE))</f>
        <v>0</v>
      </c>
      <c r="M106" s="3">
        <f>_xlfn.IFNA(VLOOKUP(Table3[[#This Row],[damId]],Sheet1!$A$2:$T$970,20, FALSE), VLOOKUP(Table3[[#This Row],[dam]],Sheet1!$B$2:$T$970,20, FALSE))*Sheet1!$AD$3</f>
        <v>124232.88</v>
      </c>
      <c r="N106" s="3">
        <f>Table3[[#This Row],[Total 
income (Earnings + value - stud fee)]]-Table3[[#This Row],[Maintenance cost ]]</f>
        <v>198760.27499999999</v>
      </c>
      <c r="O106" s="3">
        <f>SUM(Table3[[#This Row],[income1]:[income12]])</f>
        <v>244500</v>
      </c>
      <c r="P106" s="3">
        <f>_xlfn.IFNA(VLOOKUP(Table3[[#This Row],[damId]],Sheet1!$A$2:$Y$970,23, FALSE), VLOOKUP(Table3[[#This Row],[dam]],Sheet1!$B$2:$Y$970,23, FALSE))*Sheet1!$AD$3</f>
        <v>45739.724999999999</v>
      </c>
      <c r="Q106" s="3">
        <f>SUM(Table3[[#This Row],[earningsInRaces1]:[earningsInRaces12]])</f>
        <v>0</v>
      </c>
      <c r="R106" s="3">
        <f>SUM(Table3[[#This Row],[auctionPrice1]:[auctionPrice12]])</f>
        <v>457000</v>
      </c>
      <c r="S106" s="3">
        <f>SUM(Table3[[#This Row],[studFeeUSD1]:[studFeeUSD12]])</f>
        <v>-212500</v>
      </c>
      <c r="T106" s="7">
        <f>COUNT(Table3[[#This Row],[successfulService1]:[successfulService12]])</f>
        <v>10</v>
      </c>
      <c r="U106" s="7">
        <f>SUM(Table3[[#This Row],[successfulService1]:[successfulService12]])</f>
        <v>6</v>
      </c>
      <c r="V106" s="7">
        <f>SUM(Table3[[#This Row],[soldInAuction1]:[soldInAuction12]])</f>
        <v>4</v>
      </c>
      <c r="W106" s="7">
        <f>SUM(Table3[[#This Row],[foreignHorse1]:[foreignHorse12]])</f>
        <v>0</v>
      </c>
      <c r="X106" s="3">
        <v>0</v>
      </c>
      <c r="Y106" s="3">
        <v>62000</v>
      </c>
      <c r="Z106" s="3">
        <v>-35000</v>
      </c>
      <c r="AA106" s="3">
        <v>280000</v>
      </c>
      <c r="AB106" s="3">
        <v>-25000</v>
      </c>
      <c r="AC106" s="3">
        <v>17500</v>
      </c>
      <c r="AD106" s="3">
        <v>-5000</v>
      </c>
      <c r="AE106" s="3">
        <v>-30000</v>
      </c>
      <c r="AF106" s="3">
        <v>-20000</v>
      </c>
      <c r="AG106" s="3">
        <v>0</v>
      </c>
      <c r="AH106" s="3"/>
      <c r="AI106" s="3"/>
      <c r="AJ106" s="3"/>
      <c r="AK106" s="3"/>
      <c r="AL106" s="3"/>
      <c r="AM106" s="3">
        <v>0</v>
      </c>
      <c r="AN106" s="3"/>
      <c r="AO106" s="3">
        <v>0</v>
      </c>
      <c r="AP106" s="3"/>
      <c r="AQ106" s="3"/>
      <c r="AR106" s="3"/>
      <c r="AS106" s="3"/>
      <c r="AT106" s="3"/>
      <c r="AU106" s="3"/>
      <c r="AV106" s="3"/>
      <c r="AW106" s="3">
        <v>87000</v>
      </c>
      <c r="AX106" s="3"/>
      <c r="AY106" s="3">
        <v>300000</v>
      </c>
      <c r="AZ106" s="3"/>
      <c r="BA106" s="3">
        <v>40000</v>
      </c>
      <c r="BB106" s="3">
        <v>30000</v>
      </c>
      <c r="BC106" s="3"/>
      <c r="BD106" s="3"/>
      <c r="BE106" s="3"/>
      <c r="BF106" s="3"/>
      <c r="BG106" s="3"/>
      <c r="BH106" s="3">
        <v>0</v>
      </c>
      <c r="BI106" s="3">
        <v>-25000</v>
      </c>
      <c r="BJ106" s="3">
        <v>-35000</v>
      </c>
      <c r="BK106" s="3">
        <v>-20000</v>
      </c>
      <c r="BL106" s="3">
        <v>-25000</v>
      </c>
      <c r="BM106" s="3">
        <v>-22500</v>
      </c>
      <c r="BN106" s="3">
        <v>-35000</v>
      </c>
      <c r="BO106" s="3">
        <v>-30000</v>
      </c>
      <c r="BP106" s="3">
        <v>-20000</v>
      </c>
      <c r="BQ106" s="3"/>
      <c r="BR106" s="3"/>
      <c r="BS106" s="3"/>
      <c r="BT106" s="1"/>
      <c r="BU106" s="1"/>
      <c r="BV106" s="1"/>
      <c r="BW106" s="1">
        <v>0</v>
      </c>
      <c r="BX106" s="1"/>
      <c r="BY106" s="1">
        <v>0</v>
      </c>
      <c r="BZ106" s="1"/>
      <c r="CA106" s="1"/>
      <c r="CB106" s="1"/>
      <c r="CC106" s="1"/>
      <c r="CD106" s="1"/>
      <c r="CE106" s="1"/>
      <c r="CF106" s="1">
        <v>1</v>
      </c>
      <c r="CG106" s="1">
        <v>1</v>
      </c>
      <c r="CH106" s="1">
        <v>0</v>
      </c>
      <c r="CI106" s="1">
        <v>1</v>
      </c>
      <c r="CJ106" s="1">
        <v>0</v>
      </c>
      <c r="CK106" s="1">
        <v>1</v>
      </c>
      <c r="CL106" s="1">
        <v>1</v>
      </c>
      <c r="CM106" s="1">
        <v>1</v>
      </c>
      <c r="CN106" s="1">
        <v>0</v>
      </c>
      <c r="CO106" s="1">
        <v>0</v>
      </c>
      <c r="CP106" s="1"/>
      <c r="CQ106" s="1"/>
      <c r="CR106" s="1">
        <v>0</v>
      </c>
      <c r="CS106" s="1">
        <v>1</v>
      </c>
      <c r="CT106" s="1">
        <v>0</v>
      </c>
      <c r="CU106" s="1">
        <v>1</v>
      </c>
      <c r="CV106" s="1">
        <v>0</v>
      </c>
      <c r="CW106" s="1">
        <v>1</v>
      </c>
      <c r="CX106" s="1">
        <v>1</v>
      </c>
      <c r="CY106" s="1">
        <v>0</v>
      </c>
      <c r="CZ106" s="1">
        <v>0</v>
      </c>
      <c r="DA106" s="1">
        <v>0</v>
      </c>
      <c r="DB106" s="1"/>
      <c r="DC106" s="1"/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/>
      <c r="DO106" s="1"/>
      <c r="DP106" s="1">
        <v>10</v>
      </c>
      <c r="DQ106" s="1">
        <v>11</v>
      </c>
      <c r="DR106" s="1">
        <v>12</v>
      </c>
      <c r="DS106" s="1">
        <v>13</v>
      </c>
      <c r="DT106" s="1">
        <v>14</v>
      </c>
      <c r="DU106" s="1">
        <v>15</v>
      </c>
      <c r="DV106" s="1">
        <v>16</v>
      </c>
      <c r="DW106" s="1">
        <v>17</v>
      </c>
      <c r="DX106" s="1">
        <v>18</v>
      </c>
      <c r="DY106" s="1">
        <v>18</v>
      </c>
      <c r="DZ106" s="1"/>
      <c r="EA106" s="1"/>
    </row>
    <row r="107" spans="1:131" x14ac:dyDescent="0.3">
      <c r="A107">
        <v>7179569</v>
      </c>
      <c r="B107" s="1" t="s">
        <v>142</v>
      </c>
      <c r="C107" s="1" t="s">
        <v>24</v>
      </c>
      <c r="D107" s="1">
        <v>2017</v>
      </c>
      <c r="E107" s="1">
        <v>8</v>
      </c>
      <c r="F107" s="10">
        <f>Table3[[#This Row],[First season 
with SF]]+Table3[[#This Row],['# Services 
provided]]</f>
        <v>11</v>
      </c>
      <c r="G107" s="26">
        <f>(Table3[[#This Row],[Total Income 
(Race + Price 
sold + Offs - maintenance cost)]]-Table3[[#This Row],[Price 
Bought]])/Table3[[#This Row],[Price 
Bought]]</f>
        <v>-1.6207726500000001</v>
      </c>
      <c r="H107" s="31">
        <f>Table3[[#This Row],[Race 
earnings]]+Table3[[#This Row],[Price 
Sold]]-Table3[[#This Row],[Maintenance cost]]+Table3[[#This Row],[Total 
profit (Income - cost)]]</f>
        <v>-62077.265000000014</v>
      </c>
      <c r="I107" s="3">
        <f>_xlfn.IFNA(VLOOKUP(Table3[[#This Row],[damId]],Sheet1!$A$2:$M$970,5, FALSE), VLOOKUP(Table3[[#This Row],[dam]],Sheet1!$B$2:$M$970,4, FALSE))</f>
        <v>0</v>
      </c>
      <c r="J107" s="3">
        <f>_xlfn.IFNA(VLOOKUP(Table3[[#This Row],[damId]],Sheet1!$A$2:$M$970,13, FALSE), VLOOKUP(Table3[[#This Row],[dam]],Sheet1!$B$2:$M$970,13, FALSE))</f>
        <v>-100000</v>
      </c>
      <c r="K107" s="3">
        <f>_xlfn.IFNA(VLOOKUP(Table3[[#This Row],[damId]],Sheet1!$A$2:$M$970,11, FALSE), VLOOKUP(Table3[[#This Row],[dam]],Sheet1!$B$2:$M$970,11, FALSE))</f>
        <v>100000</v>
      </c>
      <c r="L107" s="3">
        <f>_xlfn.IFNA(VLOOKUP(Table3[[#This Row],[damId]],Sheet1!$A$2:$M$970,12, FALSE), VLOOKUP(Table3[[#This Row],[dam]],Sheet1!$B$2:$M$970,12, FALSE))</f>
        <v>0</v>
      </c>
      <c r="M107" s="3">
        <f>_xlfn.IFNA(VLOOKUP(Table3[[#This Row],[damId]],Sheet1!$A$2:$T$970,20, FALSE), VLOOKUP(Table3[[#This Row],[dam]],Sheet1!$B$2:$T$970,20, FALSE))*Sheet1!$AD$3</f>
        <v>124232.88</v>
      </c>
      <c r="N107" s="3">
        <f>Table3[[#This Row],[Total 
income (Earnings + value - stud fee)]]-Table3[[#This Row],[Maintenance cost ]]</f>
        <v>62155.614999999991</v>
      </c>
      <c r="O107" s="3">
        <f>SUM(Table3[[#This Row],[income1]:[income12]])</f>
        <v>161320</v>
      </c>
      <c r="P107" s="3">
        <f>_xlfn.IFNA(VLOOKUP(Table3[[#This Row],[damId]],Sheet1!$A$2:$Y$970,23, FALSE), VLOOKUP(Table3[[#This Row],[dam]],Sheet1!$B$2:$Y$970,23, FALSE))*Sheet1!$AD$3</f>
        <v>99164.385000000009</v>
      </c>
      <c r="Q107" s="3">
        <f>SUM(Table3[[#This Row],[earningsInRaces1]:[earningsInRaces12]])</f>
        <v>61320</v>
      </c>
      <c r="R107" s="3">
        <f>SUM(Table3[[#This Row],[auctionPrice1]:[auctionPrice12]])</f>
        <v>150000</v>
      </c>
      <c r="S107" s="3">
        <f>SUM(Table3[[#This Row],[studFeeUSD1]:[studFeeUSD12]])</f>
        <v>-50000</v>
      </c>
      <c r="T107" s="7">
        <f>COUNT(Table3[[#This Row],[successfulService1]:[successfulService12]])</f>
        <v>3</v>
      </c>
      <c r="U107" s="7">
        <f>SUM(Table3[[#This Row],[successfulService1]:[successfulService12]])</f>
        <v>2</v>
      </c>
      <c r="V107" s="7">
        <f>SUM(Table3[[#This Row],[soldInAuction1]:[soldInAuction12]])</f>
        <v>1</v>
      </c>
      <c r="W107" s="7">
        <f>SUM(Table3[[#This Row],[foreignHorse1]:[foreignHorse12]])</f>
        <v>0</v>
      </c>
      <c r="X107" s="3">
        <v>150000</v>
      </c>
      <c r="Y107" s="3">
        <v>-25000</v>
      </c>
      <c r="Z107" s="3">
        <v>36320</v>
      </c>
      <c r="AA107" s="3"/>
      <c r="AB107" s="3"/>
      <c r="AC107" s="3"/>
      <c r="AD107" s="3"/>
      <c r="AE107" s="3"/>
      <c r="AF107" s="3"/>
      <c r="AG107" s="3"/>
      <c r="AH107" s="3"/>
      <c r="AI107" s="3"/>
      <c r="AJ107" s="3">
        <v>0</v>
      </c>
      <c r="AK107" s="3"/>
      <c r="AL107" s="3">
        <v>61320</v>
      </c>
      <c r="AM107" s="3"/>
      <c r="AN107" s="3"/>
      <c r="AO107" s="3"/>
      <c r="AP107" s="3"/>
      <c r="AQ107" s="3"/>
      <c r="AR107" s="3"/>
      <c r="AS107" s="3"/>
      <c r="AT107" s="3"/>
      <c r="AU107" s="3"/>
      <c r="AV107" s="3">
        <v>150000</v>
      </c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>
        <v>0</v>
      </c>
      <c r="BI107" s="3">
        <v>-25000</v>
      </c>
      <c r="BJ107" s="3">
        <v>-25000</v>
      </c>
      <c r="BK107" s="3"/>
      <c r="BL107" s="3"/>
      <c r="BM107" s="3"/>
      <c r="BN107" s="3"/>
      <c r="BO107" s="3"/>
      <c r="BP107" s="3"/>
      <c r="BQ107" s="3"/>
      <c r="BR107" s="3"/>
      <c r="BS107" s="3"/>
      <c r="BT107" s="1">
        <v>0</v>
      </c>
      <c r="BU107" s="1"/>
      <c r="BV107" s="1">
        <v>1</v>
      </c>
      <c r="BW107" s="1"/>
      <c r="BX107" s="1"/>
      <c r="BY107" s="1"/>
      <c r="BZ107" s="1"/>
      <c r="CA107" s="1"/>
      <c r="CB107" s="1"/>
      <c r="CC107" s="1"/>
      <c r="CD107" s="1"/>
      <c r="CE107" s="1"/>
      <c r="CF107" s="1">
        <v>1</v>
      </c>
      <c r="CG107" s="1">
        <v>0</v>
      </c>
      <c r="CH107" s="1">
        <v>1</v>
      </c>
      <c r="CI107" s="1"/>
      <c r="CJ107" s="1"/>
      <c r="CK107" s="1"/>
      <c r="CL107" s="1"/>
      <c r="CM107" s="1"/>
      <c r="CN107" s="1"/>
      <c r="CO107" s="1"/>
      <c r="CP107" s="1"/>
      <c r="CQ107" s="1"/>
      <c r="CR107" s="1">
        <v>1</v>
      </c>
      <c r="CS107" s="1">
        <v>0</v>
      </c>
      <c r="CT107" s="1">
        <v>0</v>
      </c>
      <c r="CU107" s="1"/>
      <c r="CV107" s="1"/>
      <c r="CW107" s="1"/>
      <c r="CX107" s="1"/>
      <c r="CY107" s="1"/>
      <c r="CZ107" s="1"/>
      <c r="DA107" s="1"/>
      <c r="DB107" s="1"/>
      <c r="DC107" s="1"/>
      <c r="DD107" s="1">
        <v>0</v>
      </c>
      <c r="DE107" s="1">
        <v>0</v>
      </c>
      <c r="DF107" s="1">
        <v>0</v>
      </c>
      <c r="DG107" s="1"/>
      <c r="DH107" s="1"/>
      <c r="DI107" s="1"/>
      <c r="DJ107" s="1"/>
      <c r="DK107" s="1"/>
      <c r="DL107" s="1"/>
      <c r="DM107" s="1"/>
      <c r="DN107" s="1"/>
      <c r="DO107" s="1"/>
      <c r="DP107" s="1">
        <v>8</v>
      </c>
      <c r="DQ107" s="1">
        <v>9</v>
      </c>
      <c r="DR107" s="1">
        <v>10</v>
      </c>
      <c r="DS107" s="1"/>
      <c r="DT107" s="1"/>
      <c r="DU107" s="1"/>
      <c r="DV107" s="1"/>
      <c r="DW107" s="1"/>
      <c r="DX107" s="1"/>
      <c r="DY107" s="1"/>
      <c r="DZ107" s="1"/>
      <c r="EA107" s="1"/>
    </row>
    <row r="108" spans="1:131" x14ac:dyDescent="0.3">
      <c r="A108">
        <v>7380864</v>
      </c>
      <c r="B108" s="1" t="s">
        <v>154</v>
      </c>
      <c r="C108" s="1" t="s">
        <v>24</v>
      </c>
      <c r="D108" s="1">
        <v>2017</v>
      </c>
      <c r="E108" s="1">
        <v>7</v>
      </c>
      <c r="F108" s="10">
        <f>Table3[[#This Row],[First season 
with SF]]+Table3[[#This Row],['# Services 
provided]]</f>
        <v>12</v>
      </c>
      <c r="G108" s="26">
        <f>(Table3[[#This Row],[Total Income 
(Race + Price 
sold + Offs - maintenance cost)]]-Table3[[#This Row],[Price 
Bought]])/Table3[[#This Row],[Price 
Bought]]</f>
        <v>9.0653323076922948E-2</v>
      </c>
      <c r="H108" s="31">
        <f>Table3[[#This Row],[Race 
earnings]]+Table3[[#This Row],[Price 
Sold]]-Table3[[#This Row],[Maintenance cost]]+Table3[[#This Row],[Total 
profit (Income - cost)]]</f>
        <v>708924.65999999992</v>
      </c>
      <c r="I108" s="3">
        <f>_xlfn.IFNA(VLOOKUP(Table3[[#This Row],[damId]],Sheet1!$A$2:$M$970,5, FALSE), VLOOKUP(Table3[[#This Row],[dam]],Sheet1!$B$2:$M$970,4, FALSE))</f>
        <v>0</v>
      </c>
      <c r="J108" s="3">
        <f>_xlfn.IFNA(VLOOKUP(Table3[[#This Row],[damId]],Sheet1!$A$2:$M$970,13, FALSE), VLOOKUP(Table3[[#This Row],[dam]],Sheet1!$B$2:$M$970,13, FALSE))</f>
        <v>-650000</v>
      </c>
      <c r="K108" s="3">
        <f>_xlfn.IFNA(VLOOKUP(Table3[[#This Row],[damId]],Sheet1!$A$2:$M$970,11, FALSE), VLOOKUP(Table3[[#This Row],[dam]],Sheet1!$B$2:$M$970,11, FALSE))</f>
        <v>650000</v>
      </c>
      <c r="L108" s="3">
        <f>_xlfn.IFNA(VLOOKUP(Table3[[#This Row],[damId]],Sheet1!$A$2:$M$970,12, FALSE), VLOOKUP(Table3[[#This Row],[dam]],Sheet1!$B$2:$M$970,12, FALSE))</f>
        <v>0</v>
      </c>
      <c r="M108" s="3">
        <f>_xlfn.IFNA(VLOOKUP(Table3[[#This Row],[damId]],Sheet1!$A$2:$T$970,20, FALSE), VLOOKUP(Table3[[#This Row],[dam]],Sheet1!$B$2:$T$970,20, FALSE))*Sheet1!$AD$3</f>
        <v>124191.77999999998</v>
      </c>
      <c r="N108" s="3">
        <f>Table3[[#This Row],[Total 
income (Earnings + value - stud fee)]]-Table3[[#This Row],[Maintenance cost ]]</f>
        <v>833116.44</v>
      </c>
      <c r="O108" s="3">
        <f>SUM(Table3[[#This Row],[income1]:[income12]])</f>
        <v>862500</v>
      </c>
      <c r="P108" s="3">
        <f>_xlfn.IFNA(VLOOKUP(Table3[[#This Row],[damId]],Sheet1!$A$2:$Y$970,23, FALSE), VLOOKUP(Table3[[#This Row],[dam]],Sheet1!$B$2:$Y$970,23, FALSE))*Sheet1!$AD$3</f>
        <v>29383.56</v>
      </c>
      <c r="Q108" s="3">
        <f>SUM(Table3[[#This Row],[earningsInRaces1]:[earningsInRaces12]])</f>
        <v>0</v>
      </c>
      <c r="R108" s="3">
        <f>SUM(Table3[[#This Row],[auctionPrice1]:[auctionPrice12]])</f>
        <v>1045000</v>
      </c>
      <c r="S108" s="3">
        <f>SUM(Table3[[#This Row],[studFeeUSD1]:[studFeeUSD12]])</f>
        <v>-182500</v>
      </c>
      <c r="T108" s="7">
        <f>COUNT(Table3[[#This Row],[successfulService1]:[successfulService12]])</f>
        <v>5</v>
      </c>
      <c r="U108" s="7">
        <f>SUM(Table3[[#This Row],[successfulService1]:[successfulService12]])</f>
        <v>2</v>
      </c>
      <c r="V108" s="7">
        <f>SUM(Table3[[#This Row],[soldInAuction1]:[soldInAuction12]])</f>
        <v>2</v>
      </c>
      <c r="W108" s="7">
        <f>SUM(Table3[[#This Row],[foreignHorse1]:[foreignHorse12]])</f>
        <v>0</v>
      </c>
      <c r="X108" s="3">
        <v>675000</v>
      </c>
      <c r="Y108" s="3">
        <v>285000</v>
      </c>
      <c r="Z108" s="3">
        <v>-40000</v>
      </c>
      <c r="AA108" s="3">
        <v>-40000</v>
      </c>
      <c r="AB108" s="3">
        <v>-17500</v>
      </c>
      <c r="AC108" s="3"/>
      <c r="AD108" s="3"/>
      <c r="AE108" s="3"/>
      <c r="AF108" s="3"/>
      <c r="AG108" s="3"/>
      <c r="AH108" s="3"/>
      <c r="AI108" s="3"/>
      <c r="AJ108" s="3">
        <v>0</v>
      </c>
      <c r="AK108" s="3">
        <v>0</v>
      </c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>
        <v>675000</v>
      </c>
      <c r="AW108" s="3">
        <v>370000</v>
      </c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>
        <v>0</v>
      </c>
      <c r="BI108" s="3">
        <v>-85000</v>
      </c>
      <c r="BJ108" s="3">
        <v>-40000</v>
      </c>
      <c r="BK108" s="3">
        <v>-40000</v>
      </c>
      <c r="BL108" s="3">
        <v>-17500</v>
      </c>
      <c r="BM108" s="3"/>
      <c r="BN108" s="3"/>
      <c r="BO108" s="3"/>
      <c r="BP108" s="3"/>
      <c r="BQ108" s="3"/>
      <c r="BR108" s="3"/>
      <c r="BS108" s="3"/>
      <c r="BT108" s="1">
        <v>0</v>
      </c>
      <c r="BU108" s="1">
        <v>0</v>
      </c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>
        <v>1</v>
      </c>
      <c r="CG108" s="1">
        <v>1</v>
      </c>
      <c r="CH108" s="1">
        <v>0</v>
      </c>
      <c r="CI108" s="1">
        <v>0</v>
      </c>
      <c r="CJ108" s="1">
        <v>0</v>
      </c>
      <c r="CK108" s="1"/>
      <c r="CL108" s="1"/>
      <c r="CM108" s="1"/>
      <c r="CN108" s="1"/>
      <c r="CO108" s="1"/>
      <c r="CP108" s="1"/>
      <c r="CQ108" s="1"/>
      <c r="CR108" s="1">
        <v>1</v>
      </c>
      <c r="CS108" s="1">
        <v>1</v>
      </c>
      <c r="CT108" s="1">
        <v>0</v>
      </c>
      <c r="CU108" s="1">
        <v>0</v>
      </c>
      <c r="CV108" s="1">
        <v>0</v>
      </c>
      <c r="CW108" s="1"/>
      <c r="CX108" s="1"/>
      <c r="CY108" s="1"/>
      <c r="CZ108" s="1"/>
      <c r="DA108" s="1"/>
      <c r="DB108" s="1"/>
      <c r="DC108" s="1"/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/>
      <c r="DJ108" s="1"/>
      <c r="DK108" s="1"/>
      <c r="DL108" s="1"/>
      <c r="DM108" s="1"/>
      <c r="DN108" s="1"/>
      <c r="DO108" s="1"/>
      <c r="DP108" s="1">
        <v>7</v>
      </c>
      <c r="DQ108" s="1">
        <v>9</v>
      </c>
      <c r="DR108" s="1">
        <v>10</v>
      </c>
      <c r="DS108" s="1">
        <v>11</v>
      </c>
      <c r="DT108" s="1">
        <v>12</v>
      </c>
      <c r="DU108" s="1"/>
      <c r="DV108" s="1"/>
      <c r="DW108" s="1"/>
      <c r="DX108" s="1"/>
      <c r="DY108" s="1"/>
      <c r="DZ108" s="1"/>
      <c r="EA108" s="1"/>
    </row>
    <row r="109" spans="1:131" x14ac:dyDescent="0.3">
      <c r="A109">
        <v>7972884</v>
      </c>
      <c r="B109" s="1" t="s">
        <v>221</v>
      </c>
      <c r="C109" s="1" t="s">
        <v>24</v>
      </c>
      <c r="D109" s="1">
        <v>2017</v>
      </c>
      <c r="E109" s="1">
        <v>6</v>
      </c>
      <c r="F109" s="10">
        <f>Table3[[#This Row],[First season 
with SF]]+Table3[[#This Row],['# Services 
provided]]</f>
        <v>9</v>
      </c>
      <c r="G109" s="26">
        <f>(Table3[[#This Row],[Total Income 
(Race + Price 
sold + Offs - maintenance cost)]]-Table3[[#This Row],[Price 
Bought]])/Table3[[#This Row],[Price 
Bought]]</f>
        <v>-1.2009863399999998</v>
      </c>
      <c r="H109" s="31">
        <f>Table3[[#This Row],[Race 
earnings]]+Table3[[#This Row],[Price 
Sold]]-Table3[[#This Row],[Maintenance cost]]+Table3[[#This Row],[Total 
profit (Income - cost)]]</f>
        <v>-50246.584999999992</v>
      </c>
      <c r="I109" s="3">
        <f>_xlfn.IFNA(VLOOKUP(Table3[[#This Row],[damId]],Sheet1!$A$2:$M$970,5, FALSE), VLOOKUP(Table3[[#This Row],[dam]],Sheet1!$B$2:$M$970,4, FALSE))</f>
        <v>0</v>
      </c>
      <c r="J109" s="3">
        <f>_xlfn.IFNA(VLOOKUP(Table3[[#This Row],[damId]],Sheet1!$A$2:$M$970,13, FALSE), VLOOKUP(Table3[[#This Row],[dam]],Sheet1!$B$2:$M$970,13, FALSE))</f>
        <v>-234000</v>
      </c>
      <c r="K109" s="3">
        <f>_xlfn.IFNA(VLOOKUP(Table3[[#This Row],[damId]],Sheet1!$A$2:$M$970,11, FALSE), VLOOKUP(Table3[[#This Row],[dam]],Sheet1!$B$2:$M$970,11, FALSE))</f>
        <v>250000</v>
      </c>
      <c r="L109" s="3">
        <f>_xlfn.IFNA(VLOOKUP(Table3[[#This Row],[damId]],Sheet1!$A$2:$M$970,12, FALSE), VLOOKUP(Table3[[#This Row],[dam]],Sheet1!$B$2:$M$970,12, FALSE))</f>
        <v>16000</v>
      </c>
      <c r="M109" s="3">
        <f>_xlfn.IFNA(VLOOKUP(Table3[[#This Row],[damId]],Sheet1!$A$2:$T$970,20, FALSE), VLOOKUP(Table3[[#This Row],[dam]],Sheet1!$B$2:$T$970,20, FALSE))*Sheet1!$AD$3</f>
        <v>45328.77</v>
      </c>
      <c r="N109" s="3">
        <f>Table3[[#This Row],[Total 
income (Earnings + value - stud fee)]]-Table3[[#This Row],[Maintenance cost ]]</f>
        <v>-20917.814999999999</v>
      </c>
      <c r="O109" s="3">
        <f>SUM(Table3[[#This Row],[income1]:[income12]])</f>
        <v>0</v>
      </c>
      <c r="P109" s="3">
        <f>_xlfn.IFNA(VLOOKUP(Table3[[#This Row],[damId]],Sheet1!$A$2:$Y$970,23, FALSE), VLOOKUP(Table3[[#This Row],[dam]],Sheet1!$B$2:$Y$970,23, FALSE))*Sheet1!$AD$3</f>
        <v>20917.814999999999</v>
      </c>
      <c r="Q109" s="3">
        <f>SUM(Table3[[#This Row],[earningsInRaces1]:[earningsInRaces12]])</f>
        <v>0</v>
      </c>
      <c r="R109" s="3">
        <f>SUM(Table3[[#This Row],[auctionPrice1]:[auctionPrice12]])</f>
        <v>75000</v>
      </c>
      <c r="S109" s="3">
        <f>SUM(Table3[[#This Row],[studFeeUSD1]:[studFeeUSD12]])</f>
        <v>-75000</v>
      </c>
      <c r="T109" s="7">
        <f>COUNT(Table3[[#This Row],[successfulService1]:[successfulService12]])</f>
        <v>3</v>
      </c>
      <c r="U109" s="7">
        <f>SUM(Table3[[#This Row],[successfulService1]:[successfulService12]])</f>
        <v>2</v>
      </c>
      <c r="V109" s="7">
        <f>SUM(Table3[[#This Row],[soldInAuction1]:[soldInAuction12]])</f>
        <v>2</v>
      </c>
      <c r="W109" s="7">
        <f>SUM(Table3[[#This Row],[foreignHorse1]:[foreignHorse12]])</f>
        <v>0</v>
      </c>
      <c r="X109" s="3">
        <v>0</v>
      </c>
      <c r="Y109" s="3">
        <v>-5000</v>
      </c>
      <c r="Z109" s="3">
        <v>5000</v>
      </c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>
        <v>0</v>
      </c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>
        <v>45000</v>
      </c>
      <c r="AX109" s="3">
        <v>30000</v>
      </c>
      <c r="AY109" s="3"/>
      <c r="AZ109" s="3"/>
      <c r="BA109" s="3"/>
      <c r="BB109" s="3"/>
      <c r="BC109" s="3"/>
      <c r="BD109" s="3"/>
      <c r="BE109" s="3"/>
      <c r="BF109" s="3"/>
      <c r="BG109" s="3"/>
      <c r="BH109" s="3">
        <v>0</v>
      </c>
      <c r="BI109" s="3">
        <v>-50000</v>
      </c>
      <c r="BJ109" s="3">
        <v>-25000</v>
      </c>
      <c r="BK109" s="3"/>
      <c r="BL109" s="3"/>
      <c r="BM109" s="3"/>
      <c r="BN109" s="3"/>
      <c r="BO109" s="3"/>
      <c r="BP109" s="3"/>
      <c r="BQ109" s="3"/>
      <c r="BR109" s="3"/>
      <c r="BS109" s="3"/>
      <c r="BT109" s="1"/>
      <c r="BU109" s="1">
        <v>0</v>
      </c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>
        <v>0</v>
      </c>
      <c r="CG109" s="1">
        <v>1</v>
      </c>
      <c r="CH109" s="1">
        <v>1</v>
      </c>
      <c r="CI109" s="1"/>
      <c r="CJ109" s="1"/>
      <c r="CK109" s="1"/>
      <c r="CL109" s="1"/>
      <c r="CM109" s="1"/>
      <c r="CN109" s="1"/>
      <c r="CO109" s="1"/>
      <c r="CP109" s="1"/>
      <c r="CQ109" s="1"/>
      <c r="CR109" s="1">
        <v>0</v>
      </c>
      <c r="CS109" s="1">
        <v>1</v>
      </c>
      <c r="CT109" s="1">
        <v>1</v>
      </c>
      <c r="CU109" s="1"/>
      <c r="CV109" s="1"/>
      <c r="CW109" s="1"/>
      <c r="CX109" s="1"/>
      <c r="CY109" s="1"/>
      <c r="CZ109" s="1"/>
      <c r="DA109" s="1"/>
      <c r="DB109" s="1"/>
      <c r="DC109" s="1"/>
      <c r="DD109" s="1">
        <v>0</v>
      </c>
      <c r="DE109" s="1">
        <v>0</v>
      </c>
      <c r="DF109" s="1">
        <v>0</v>
      </c>
      <c r="DG109" s="1"/>
      <c r="DH109" s="1"/>
      <c r="DI109" s="1"/>
      <c r="DJ109" s="1"/>
      <c r="DK109" s="1"/>
      <c r="DL109" s="1"/>
      <c r="DM109" s="1"/>
      <c r="DN109" s="1"/>
      <c r="DO109" s="1"/>
      <c r="DP109" s="1">
        <v>6</v>
      </c>
      <c r="DQ109" s="1">
        <v>7</v>
      </c>
      <c r="DR109" s="1">
        <v>8</v>
      </c>
      <c r="DS109" s="1"/>
      <c r="DT109" s="1"/>
      <c r="DU109" s="1"/>
      <c r="DV109" s="1"/>
      <c r="DW109" s="1"/>
      <c r="DX109" s="1"/>
      <c r="DY109" s="1"/>
      <c r="DZ109" s="1"/>
      <c r="EA109" s="1"/>
    </row>
    <row r="110" spans="1:131" x14ac:dyDescent="0.3">
      <c r="A110">
        <v>8053673</v>
      </c>
      <c r="B110" s="1" t="s">
        <v>238</v>
      </c>
      <c r="C110" s="1" t="s">
        <v>24</v>
      </c>
      <c r="D110" s="1">
        <v>2017</v>
      </c>
      <c r="E110" s="1">
        <v>4</v>
      </c>
      <c r="F110" s="10">
        <f>Table3[[#This Row],[First season 
with SF]]+Table3[[#This Row],['# Services 
provided]]</f>
        <v>5</v>
      </c>
      <c r="G110" s="26">
        <f>(Table3[[#This Row],[Total Income 
(Race + Price 
sold + Offs - maintenance cost)]]-Table3[[#This Row],[Price 
Bought]])/Table3[[#This Row],[Price 
Bought]]</f>
        <v>6.3780839999999853E-2</v>
      </c>
      <c r="H110" s="31">
        <f>Table3[[#This Row],[Race 
earnings]]+Table3[[#This Row],[Price 
Sold]]-Table3[[#This Row],[Maintenance cost]]+Table3[[#This Row],[Total 
profit (Income - cost)]]</f>
        <v>132972.60499999998</v>
      </c>
      <c r="I110" s="3">
        <f>_xlfn.IFNA(VLOOKUP(Table3[[#This Row],[damId]],Sheet1!$A$2:$M$970,5, FALSE), VLOOKUP(Table3[[#This Row],[dam]],Sheet1!$B$2:$M$970,4, FALSE))</f>
        <v>0</v>
      </c>
      <c r="J110" s="3">
        <f>_xlfn.IFNA(VLOOKUP(Table3[[#This Row],[damId]],Sheet1!$A$2:$M$970,13, FALSE), VLOOKUP(Table3[[#This Row],[dam]],Sheet1!$B$2:$M$970,13, FALSE))</f>
        <v>-25000</v>
      </c>
      <c r="K110" s="3">
        <f>_xlfn.IFNA(VLOOKUP(Table3[[#This Row],[damId]],Sheet1!$A$2:$M$970,11, FALSE), VLOOKUP(Table3[[#This Row],[dam]],Sheet1!$B$2:$M$970,11, FALSE))</f>
        <v>125000</v>
      </c>
      <c r="L110" s="3">
        <f>_xlfn.IFNA(VLOOKUP(Table3[[#This Row],[damId]],Sheet1!$A$2:$M$970,12, FALSE), VLOOKUP(Table3[[#This Row],[dam]],Sheet1!$B$2:$M$970,12, FALSE))</f>
        <v>100000</v>
      </c>
      <c r="M110" s="3">
        <f>_xlfn.IFNA(VLOOKUP(Table3[[#This Row],[damId]],Sheet1!$A$2:$T$970,20, FALSE), VLOOKUP(Table3[[#This Row],[dam]],Sheet1!$B$2:$T$970,20, FALSE))*Sheet1!$AD$3</f>
        <v>19027.395</v>
      </c>
      <c r="N110" s="3">
        <f>Table3[[#This Row],[Total 
income (Earnings + value - stud fee)]]-Table3[[#This Row],[Maintenance cost ]]</f>
        <v>52000</v>
      </c>
      <c r="O110" s="3">
        <f>SUM(Table3[[#This Row],[income1]:[income12]])</f>
        <v>52000</v>
      </c>
      <c r="P110" s="3">
        <f>_xlfn.IFNA(VLOOKUP(Table3[[#This Row],[damId]],Sheet1!$A$2:$Y$970,23, FALSE), VLOOKUP(Table3[[#This Row],[dam]],Sheet1!$B$2:$Y$970,23, FALSE))*Sheet1!$AD$3</f>
        <v>0</v>
      </c>
      <c r="Q110" s="3">
        <f>SUM(Table3[[#This Row],[earningsInRaces1]:[earningsInRaces12]])</f>
        <v>0</v>
      </c>
      <c r="R110" s="3">
        <f>SUM(Table3[[#This Row],[auctionPrice1]:[auctionPrice12]])</f>
        <v>77000</v>
      </c>
      <c r="S110" s="3">
        <f>SUM(Table3[[#This Row],[studFeeUSD1]:[studFeeUSD12]])</f>
        <v>-25000</v>
      </c>
      <c r="T110" s="7">
        <f>COUNT(Table3[[#This Row],[successfulService1]:[successfulService12]])</f>
        <v>1</v>
      </c>
      <c r="U110" s="7">
        <f>SUM(Table3[[#This Row],[successfulService1]:[successfulService12]])</f>
        <v>1</v>
      </c>
      <c r="V110" s="7">
        <f>SUM(Table3[[#This Row],[soldInAuction1]:[soldInAuction12]])</f>
        <v>1</v>
      </c>
      <c r="W110" s="7">
        <f>SUM(Table3[[#This Row],[foreignHorse1]:[foreignHorse12]])</f>
        <v>0</v>
      </c>
      <c r="X110" s="3">
        <v>52000</v>
      </c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>
        <v>77000</v>
      </c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>
        <v>-25000</v>
      </c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>
        <v>1</v>
      </c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>
        <v>1</v>
      </c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>
        <v>0</v>
      </c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>
        <v>4</v>
      </c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</row>
    <row r="111" spans="1:131" x14ac:dyDescent="0.3">
      <c r="A111">
        <v>8337012</v>
      </c>
      <c r="B111" s="1" t="s">
        <v>270</v>
      </c>
      <c r="C111" s="1" t="s">
        <v>24</v>
      </c>
      <c r="D111" s="1">
        <v>2017</v>
      </c>
      <c r="E111" s="1">
        <v>6</v>
      </c>
      <c r="F111" s="10">
        <f>Table3[[#This Row],[First season 
with SF]]+Table3[[#This Row],['# Services 
provided]]</f>
        <v>13</v>
      </c>
      <c r="G111" s="26">
        <f>(Table3[[#This Row],[Total Income 
(Race + Price 
sold + Offs - maintenance cost)]]-Table3[[#This Row],[Price 
Bought]])/Table3[[#This Row],[Price 
Bought]]</f>
        <v>-4.4209581499999997</v>
      </c>
      <c r="H111" s="31">
        <f>Table3[[#This Row],[Race 
earnings]]+Table3[[#This Row],[Price 
Sold]]-Table3[[#This Row],[Maintenance cost]]+Table3[[#This Row],[Total 
profit (Income - cost)]]</f>
        <v>-342095.815</v>
      </c>
      <c r="I111" s="3">
        <f>_xlfn.IFNA(VLOOKUP(Table3[[#This Row],[damId]],Sheet1!$A$2:$M$970,5, FALSE), VLOOKUP(Table3[[#This Row],[dam]],Sheet1!$B$2:$M$970,4, FALSE))</f>
        <v>0</v>
      </c>
      <c r="J111" s="3">
        <f>_xlfn.IFNA(VLOOKUP(Table3[[#This Row],[damId]],Sheet1!$A$2:$M$970,13, FALSE), VLOOKUP(Table3[[#This Row],[dam]],Sheet1!$B$2:$M$970,13, FALSE))</f>
        <v>-100000</v>
      </c>
      <c r="K111" s="3">
        <f>_xlfn.IFNA(VLOOKUP(Table3[[#This Row],[damId]],Sheet1!$A$2:$M$970,11, FALSE), VLOOKUP(Table3[[#This Row],[dam]],Sheet1!$B$2:$M$970,11, FALSE))</f>
        <v>100000</v>
      </c>
      <c r="L111" s="3">
        <f>_xlfn.IFNA(VLOOKUP(Table3[[#This Row],[damId]],Sheet1!$A$2:$M$970,12, FALSE), VLOOKUP(Table3[[#This Row],[dam]],Sheet1!$B$2:$M$970,12, FALSE))</f>
        <v>0</v>
      </c>
      <c r="M111" s="3">
        <f>_xlfn.IFNA(VLOOKUP(Table3[[#This Row],[damId]],Sheet1!$A$2:$T$970,20, FALSE), VLOOKUP(Table3[[#This Row],[dam]],Sheet1!$B$2:$T$970,20, FALSE))*Sheet1!$AD$3</f>
        <v>124273.96500000001</v>
      </c>
      <c r="N111" s="3">
        <f>Table3[[#This Row],[Total 
income (Earnings + value - stud fee)]]-Table3[[#This Row],[Maintenance cost ]]</f>
        <v>-217821.85</v>
      </c>
      <c r="O111" s="3">
        <f>SUM(Table3[[#This Row],[income1]:[income12]])</f>
        <v>-43000</v>
      </c>
      <c r="P111" s="3">
        <f>_xlfn.IFNA(VLOOKUP(Table3[[#This Row],[damId]],Sheet1!$A$2:$Y$970,23, FALSE), VLOOKUP(Table3[[#This Row],[dam]],Sheet1!$B$2:$Y$970,23, FALSE))*Sheet1!$AD$3</f>
        <v>174821.85</v>
      </c>
      <c r="Q111" s="3">
        <f>SUM(Table3[[#This Row],[earningsInRaces1]:[earningsInRaces12]])</f>
        <v>0</v>
      </c>
      <c r="R111" s="3">
        <f>SUM(Table3[[#This Row],[auctionPrice1]:[auctionPrice12]])</f>
        <v>102000</v>
      </c>
      <c r="S111" s="3">
        <f>SUM(Table3[[#This Row],[studFeeUSD1]:[studFeeUSD12]])</f>
        <v>-145000</v>
      </c>
      <c r="T111" s="7">
        <f>COUNT(Table3[[#This Row],[successfulService1]:[successfulService12]])</f>
        <v>7</v>
      </c>
      <c r="U111" s="7">
        <f>SUM(Table3[[#This Row],[successfulService1]:[successfulService12]])</f>
        <v>4</v>
      </c>
      <c r="V111" s="7">
        <f>SUM(Table3[[#This Row],[soldInAuction1]:[soldInAuction12]])</f>
        <v>3</v>
      </c>
      <c r="W111" s="7">
        <f>SUM(Table3[[#This Row],[foreignHorse1]:[foreignHorse12]])</f>
        <v>0</v>
      </c>
      <c r="X111" s="3">
        <v>0</v>
      </c>
      <c r="Y111" s="3">
        <v>37000</v>
      </c>
      <c r="Z111" s="3">
        <v>0</v>
      </c>
      <c r="AA111" s="3">
        <v>-25000</v>
      </c>
      <c r="AB111" s="3">
        <v>-5000</v>
      </c>
      <c r="AC111" s="3">
        <v>-30000</v>
      </c>
      <c r="AD111" s="3">
        <v>-20000</v>
      </c>
      <c r="AE111" s="3"/>
      <c r="AF111" s="3"/>
      <c r="AG111" s="3"/>
      <c r="AH111" s="3"/>
      <c r="AI111" s="3"/>
      <c r="AJ111" s="3">
        <v>0</v>
      </c>
      <c r="AK111" s="3">
        <v>0</v>
      </c>
      <c r="AL111" s="3">
        <v>0</v>
      </c>
      <c r="AM111" s="3"/>
      <c r="AN111" s="3">
        <v>0</v>
      </c>
      <c r="AO111" s="3"/>
      <c r="AP111" s="3"/>
      <c r="AQ111" s="3"/>
      <c r="AR111" s="3"/>
      <c r="AS111" s="3"/>
      <c r="AT111" s="3"/>
      <c r="AU111" s="3"/>
      <c r="AV111" s="3"/>
      <c r="AW111" s="3">
        <v>62000</v>
      </c>
      <c r="AX111" s="3">
        <v>25000</v>
      </c>
      <c r="AY111" s="3"/>
      <c r="AZ111" s="3">
        <v>15000</v>
      </c>
      <c r="BA111" s="3"/>
      <c r="BB111" s="3"/>
      <c r="BC111" s="3"/>
      <c r="BD111" s="3"/>
      <c r="BE111" s="3"/>
      <c r="BF111" s="3"/>
      <c r="BG111" s="3"/>
      <c r="BH111" s="3">
        <v>0</v>
      </c>
      <c r="BI111" s="3">
        <v>-25000</v>
      </c>
      <c r="BJ111" s="3">
        <v>-25000</v>
      </c>
      <c r="BK111" s="3">
        <v>-25000</v>
      </c>
      <c r="BL111" s="3">
        <v>-20000</v>
      </c>
      <c r="BM111" s="3">
        <v>-30000</v>
      </c>
      <c r="BN111" s="3">
        <v>-20000</v>
      </c>
      <c r="BO111" s="3"/>
      <c r="BP111" s="3"/>
      <c r="BQ111" s="3"/>
      <c r="BR111" s="3"/>
      <c r="BS111" s="3"/>
      <c r="BT111" s="1">
        <v>0</v>
      </c>
      <c r="BU111" s="1">
        <v>0</v>
      </c>
      <c r="BV111" s="1">
        <v>0</v>
      </c>
      <c r="BW111" s="1"/>
      <c r="BX111" s="1">
        <v>0</v>
      </c>
      <c r="BY111" s="1"/>
      <c r="BZ111" s="1"/>
      <c r="CA111" s="1"/>
      <c r="CB111" s="1"/>
      <c r="CC111" s="1"/>
      <c r="CD111" s="1"/>
      <c r="CE111" s="1"/>
      <c r="CF111" s="1">
        <v>1</v>
      </c>
      <c r="CG111" s="1">
        <v>1</v>
      </c>
      <c r="CH111" s="1">
        <v>1</v>
      </c>
      <c r="CI111" s="1">
        <v>0</v>
      </c>
      <c r="CJ111" s="1">
        <v>1</v>
      </c>
      <c r="CK111" s="1">
        <v>0</v>
      </c>
      <c r="CL111" s="1">
        <v>0</v>
      </c>
      <c r="CM111" s="1"/>
      <c r="CN111" s="1"/>
      <c r="CO111" s="1"/>
      <c r="CP111" s="1"/>
      <c r="CQ111" s="1"/>
      <c r="CR111" s="1">
        <v>0</v>
      </c>
      <c r="CS111" s="1">
        <v>1</v>
      </c>
      <c r="CT111" s="1">
        <v>1</v>
      </c>
      <c r="CU111" s="1">
        <v>0</v>
      </c>
      <c r="CV111" s="1">
        <v>1</v>
      </c>
      <c r="CW111" s="1">
        <v>0</v>
      </c>
      <c r="CX111" s="1">
        <v>0</v>
      </c>
      <c r="CY111" s="1"/>
      <c r="CZ111" s="1"/>
      <c r="DA111" s="1"/>
      <c r="DB111" s="1"/>
      <c r="DC111" s="1"/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/>
      <c r="DL111" s="1"/>
      <c r="DM111" s="1"/>
      <c r="DN111" s="1"/>
      <c r="DO111" s="1"/>
      <c r="DP111" s="1">
        <v>6</v>
      </c>
      <c r="DQ111" s="1">
        <v>7</v>
      </c>
      <c r="DR111" s="1">
        <v>8</v>
      </c>
      <c r="DS111" s="1">
        <v>9</v>
      </c>
      <c r="DT111" s="1">
        <v>10</v>
      </c>
      <c r="DU111" s="1">
        <v>11</v>
      </c>
      <c r="DV111" s="1">
        <v>12</v>
      </c>
      <c r="DW111" s="1"/>
      <c r="DX111" s="1"/>
      <c r="DY111" s="1"/>
      <c r="DZ111" s="1"/>
      <c r="EA111" s="1"/>
    </row>
    <row r="112" spans="1:131" x14ac:dyDescent="0.3">
      <c r="A112">
        <v>8577081</v>
      </c>
      <c r="B112" s="1" t="s">
        <v>297</v>
      </c>
      <c r="C112" s="1" t="s">
        <v>139</v>
      </c>
      <c r="D112" s="1">
        <v>2017</v>
      </c>
      <c r="E112" s="1">
        <v>1</v>
      </c>
      <c r="F112" s="10">
        <f>Table3[[#This Row],[First season 
with SF]]+Table3[[#This Row],['# Services 
provided]]</f>
        <v>4</v>
      </c>
      <c r="G112" s="26">
        <f>(Table3[[#This Row],[Total Income 
(Race + Price 
sold + Offs - maintenance cost)]]-Table3[[#This Row],[Price 
Bought]])/Table3[[#This Row],[Price 
Bought]]</f>
        <v>5.8012031249999929E-2</v>
      </c>
      <c r="H112" s="31">
        <f>Table3[[#This Row],[Race 
earnings]]+Table3[[#This Row],[Price 
Sold]]-Table3[[#This Row],[Maintenance cost]]+Table3[[#This Row],[Total 
profit (Income - cost)]]</f>
        <v>169281.92499999999</v>
      </c>
      <c r="I112" s="3">
        <f>_xlfn.IFNA(VLOOKUP(Table3[[#This Row],[damId]],Sheet1!$A$2:$M$970,5, FALSE), VLOOKUP(Table3[[#This Row],[dam]],Sheet1!$B$2:$M$970,4, FALSE))</f>
        <v>0</v>
      </c>
      <c r="J112" s="3">
        <f>_xlfn.IFNA(VLOOKUP(Table3[[#This Row],[damId]],Sheet1!$A$2:$M$970,13, FALSE), VLOOKUP(Table3[[#This Row],[dam]],Sheet1!$B$2:$M$970,13, FALSE))</f>
        <v>-21540</v>
      </c>
      <c r="K112" s="3">
        <f>_xlfn.IFNA(VLOOKUP(Table3[[#This Row],[damId]],Sheet1!$A$2:$M$970,11, FALSE), VLOOKUP(Table3[[#This Row],[dam]],Sheet1!$B$2:$M$970,11, FALSE))</f>
        <v>160000</v>
      </c>
      <c r="L112" s="3">
        <f>_xlfn.IFNA(VLOOKUP(Table3[[#This Row],[damId]],Sheet1!$A$2:$M$970,12, FALSE), VLOOKUP(Table3[[#This Row],[dam]],Sheet1!$B$2:$M$970,12, FALSE))</f>
        <v>138460</v>
      </c>
      <c r="M112" s="3">
        <f>_xlfn.IFNA(VLOOKUP(Table3[[#This Row],[damId]],Sheet1!$A$2:$T$970,20, FALSE), VLOOKUP(Table3[[#This Row],[dam]],Sheet1!$B$2:$T$970,20, FALSE))*Sheet1!$AD$3</f>
        <v>53547.945</v>
      </c>
      <c r="N112" s="3">
        <f>Table3[[#This Row],[Total 
income (Earnings + value - stud fee)]]-Table3[[#This Row],[Maintenance cost ]]</f>
        <v>84369.87</v>
      </c>
      <c r="O112" s="3">
        <f>SUM(Table3[[#This Row],[income1]:[income12]])</f>
        <v>120000</v>
      </c>
      <c r="P112" s="3">
        <f>_xlfn.IFNA(VLOOKUP(Table3[[#This Row],[damId]],Sheet1!$A$2:$Y$970,23, FALSE), VLOOKUP(Table3[[#This Row],[dam]],Sheet1!$B$2:$Y$970,23, FALSE))*Sheet1!$AD$3</f>
        <v>35630.129999999997</v>
      </c>
      <c r="Q112" s="3">
        <f>SUM(Table3[[#This Row],[earningsInRaces1]:[earningsInRaces12]])</f>
        <v>0</v>
      </c>
      <c r="R112" s="3">
        <f>SUM(Table3[[#This Row],[auctionPrice1]:[auctionPrice12]])</f>
        <v>235000</v>
      </c>
      <c r="S112" s="3">
        <f>SUM(Table3[[#This Row],[studFeeUSD1]:[studFeeUSD12]])</f>
        <v>-115000</v>
      </c>
      <c r="T112" s="7">
        <f>COUNT(Table3[[#This Row],[successfulService1]:[successfulService12]])</f>
        <v>3</v>
      </c>
      <c r="U112" s="7">
        <f>SUM(Table3[[#This Row],[successfulService1]:[successfulService12]])</f>
        <v>3</v>
      </c>
      <c r="V112" s="7">
        <f>SUM(Table3[[#This Row],[soldInAuction1]:[soldInAuction12]])</f>
        <v>2</v>
      </c>
      <c r="W112" s="7">
        <f>SUM(Table3[[#This Row],[foreignHorse1]:[foreignHorse12]])</f>
        <v>0</v>
      </c>
      <c r="X112" s="3">
        <v>20000</v>
      </c>
      <c r="Y112" s="3">
        <v>100000</v>
      </c>
      <c r="Z112" s="3">
        <v>0</v>
      </c>
      <c r="AA112" s="3"/>
      <c r="AB112" s="3"/>
      <c r="AC112" s="3"/>
      <c r="AD112" s="3"/>
      <c r="AE112" s="3"/>
      <c r="AF112" s="3"/>
      <c r="AG112" s="3"/>
      <c r="AH112" s="3"/>
      <c r="AI112" s="3"/>
      <c r="AJ112" s="3">
        <v>0</v>
      </c>
      <c r="AK112" s="3">
        <v>0</v>
      </c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>
        <v>35000</v>
      </c>
      <c r="AW112" s="3">
        <v>200000</v>
      </c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>
        <v>-15000</v>
      </c>
      <c r="BI112" s="3">
        <v>-100000</v>
      </c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1">
        <v>0</v>
      </c>
      <c r="BU112" s="1">
        <v>0</v>
      </c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>
        <v>1</v>
      </c>
      <c r="CG112" s="1">
        <v>1</v>
      </c>
      <c r="CH112" s="1">
        <v>1</v>
      </c>
      <c r="CI112" s="1"/>
      <c r="CJ112" s="1"/>
      <c r="CK112" s="1"/>
      <c r="CL112" s="1"/>
      <c r="CM112" s="1"/>
      <c r="CN112" s="1"/>
      <c r="CO112" s="1"/>
      <c r="CP112" s="1"/>
      <c r="CQ112" s="1"/>
      <c r="CR112" s="1">
        <v>1</v>
      </c>
      <c r="CS112" s="1">
        <v>1</v>
      </c>
      <c r="CT112" s="1">
        <v>0</v>
      </c>
      <c r="CU112" s="1"/>
      <c r="CV112" s="1"/>
      <c r="CW112" s="1"/>
      <c r="CX112" s="1"/>
      <c r="CY112" s="1"/>
      <c r="CZ112" s="1"/>
      <c r="DA112" s="1"/>
      <c r="DB112" s="1"/>
      <c r="DC112" s="1"/>
      <c r="DD112" s="1">
        <v>0</v>
      </c>
      <c r="DE112" s="1">
        <v>0</v>
      </c>
      <c r="DF112" s="1">
        <v>0</v>
      </c>
      <c r="DG112" s="1"/>
      <c r="DH112" s="1"/>
      <c r="DI112" s="1"/>
      <c r="DJ112" s="1"/>
      <c r="DK112" s="1"/>
      <c r="DL112" s="1"/>
      <c r="DM112" s="1"/>
      <c r="DN112" s="1"/>
      <c r="DO112" s="1"/>
      <c r="DP112" s="1">
        <v>1</v>
      </c>
      <c r="DQ112" s="1">
        <v>2</v>
      </c>
      <c r="DR112" s="1">
        <v>3</v>
      </c>
      <c r="DS112" s="1"/>
      <c r="DT112" s="1"/>
      <c r="DU112" s="1"/>
      <c r="DV112" s="1"/>
      <c r="DW112" s="1"/>
      <c r="DX112" s="1"/>
      <c r="DY112" s="1"/>
      <c r="DZ112" s="1"/>
      <c r="EA112" s="1"/>
    </row>
    <row r="113" spans="1:131" x14ac:dyDescent="0.3">
      <c r="A113">
        <v>8588560</v>
      </c>
      <c r="B113" s="1" t="s">
        <v>305</v>
      </c>
      <c r="C113" s="1" t="s">
        <v>139</v>
      </c>
      <c r="D113" s="1">
        <v>2017</v>
      </c>
      <c r="E113" s="1">
        <v>1</v>
      </c>
      <c r="F113" s="10">
        <f>Table3[[#This Row],[First season 
with SF]]+Table3[[#This Row],['# Services 
provided]]</f>
        <v>4</v>
      </c>
      <c r="G113" s="26">
        <f>(Table3[[#This Row],[Total Income 
(Race + Price 
sold + Offs - maintenance cost)]]-Table3[[#This Row],[Price 
Bought]])/Table3[[#This Row],[Price 
Bought]]</f>
        <v>0.32638330434782614</v>
      </c>
      <c r="H113" s="31">
        <f>Table3[[#This Row],[Race 
earnings]]+Table3[[#This Row],[Price 
Sold]]-Table3[[#This Row],[Maintenance cost]]+Table3[[#This Row],[Total 
profit (Income - cost)]]</f>
        <v>762670.4</v>
      </c>
      <c r="I113" s="3">
        <f>_xlfn.IFNA(VLOOKUP(Table3[[#This Row],[damId]],Sheet1!$A$2:$M$970,5, FALSE), VLOOKUP(Table3[[#This Row],[dam]],Sheet1!$B$2:$M$970,4, FALSE))</f>
        <v>0</v>
      </c>
      <c r="J113" s="3">
        <f>_xlfn.IFNA(VLOOKUP(Table3[[#This Row],[damId]],Sheet1!$A$2:$M$970,13, FALSE), VLOOKUP(Table3[[#This Row],[dam]],Sheet1!$B$2:$M$970,13, FALSE))</f>
        <v>-38932</v>
      </c>
      <c r="K113" s="3">
        <f>_xlfn.IFNA(VLOOKUP(Table3[[#This Row],[damId]],Sheet1!$A$2:$M$970,11, FALSE), VLOOKUP(Table3[[#This Row],[dam]],Sheet1!$B$2:$M$970,11, FALSE))</f>
        <v>575000</v>
      </c>
      <c r="L113" s="3">
        <f>_xlfn.IFNA(VLOOKUP(Table3[[#This Row],[damId]],Sheet1!$A$2:$M$970,12, FALSE), VLOOKUP(Table3[[#This Row],[dam]],Sheet1!$B$2:$M$970,12, FALSE))</f>
        <v>536068</v>
      </c>
      <c r="M113" s="3">
        <f>_xlfn.IFNA(VLOOKUP(Table3[[#This Row],[damId]],Sheet1!$A$2:$T$970,20, FALSE), VLOOKUP(Table3[[#This Row],[dam]],Sheet1!$B$2:$T$970,20, FALSE))*Sheet1!$AD$3</f>
        <v>43273.98</v>
      </c>
      <c r="N113" s="3">
        <f>Table3[[#This Row],[Total 
income (Earnings + value - stud fee)]]-Table3[[#This Row],[Maintenance cost ]]</f>
        <v>269876.38</v>
      </c>
      <c r="O113" s="3">
        <f>SUM(Table3[[#This Row],[income1]:[income12]])</f>
        <v>269876.38</v>
      </c>
      <c r="P113" s="3">
        <f>_xlfn.IFNA(VLOOKUP(Table3[[#This Row],[damId]],Sheet1!$A$2:$Y$970,23, FALSE), VLOOKUP(Table3[[#This Row],[dam]],Sheet1!$B$2:$Y$970,23, FALSE))*Sheet1!$AD$3</f>
        <v>0</v>
      </c>
      <c r="Q113" s="3">
        <f>SUM(Table3[[#This Row],[earningsInRaces1]:[earningsInRaces12]])</f>
        <v>0</v>
      </c>
      <c r="R113" s="3">
        <f>SUM(Table3[[#This Row],[auctionPrice1]:[auctionPrice12]])</f>
        <v>413503</v>
      </c>
      <c r="S113" s="3">
        <f>SUM(Table3[[#This Row],[studFeeUSD1]:[studFeeUSD12]])</f>
        <v>-143626.60999999999</v>
      </c>
      <c r="T113" s="7">
        <f>COUNT(Table3[[#This Row],[successfulService1]:[successfulService12]])</f>
        <v>3</v>
      </c>
      <c r="U113" s="7">
        <f>SUM(Table3[[#This Row],[successfulService1]:[successfulService12]])</f>
        <v>3</v>
      </c>
      <c r="V113" s="7">
        <f>SUM(Table3[[#This Row],[soldInAuction1]:[soldInAuction12]])</f>
        <v>3</v>
      </c>
      <c r="W113" s="7">
        <f>SUM(Table3[[#This Row],[foreignHorse1]:[foreignHorse12]])</f>
        <v>3</v>
      </c>
      <c r="X113" s="3">
        <v>-57963.02</v>
      </c>
      <c r="Y113" s="3">
        <v>42052</v>
      </c>
      <c r="Z113" s="3">
        <v>285787.40000000002</v>
      </c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>
        <v>27071</v>
      </c>
      <c r="AW113" s="3">
        <v>42052</v>
      </c>
      <c r="AX113" s="3">
        <v>344380</v>
      </c>
      <c r="AY113" s="3"/>
      <c r="AZ113" s="3"/>
      <c r="BA113" s="3"/>
      <c r="BB113" s="3"/>
      <c r="BC113" s="3"/>
      <c r="BD113" s="3"/>
      <c r="BE113" s="3"/>
      <c r="BF113" s="3"/>
      <c r="BG113" s="3"/>
      <c r="BH113" s="3">
        <v>-85034.02</v>
      </c>
      <c r="BI113" s="3"/>
      <c r="BJ113" s="3">
        <v>-58592.59</v>
      </c>
      <c r="BK113" s="3"/>
      <c r="BL113" s="3"/>
      <c r="BM113" s="3"/>
      <c r="BN113" s="3"/>
      <c r="BO113" s="3"/>
      <c r="BP113" s="3"/>
      <c r="BQ113" s="3"/>
      <c r="BR113" s="3"/>
      <c r="BS113" s="3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>
        <v>1</v>
      </c>
      <c r="CG113" s="1">
        <v>1</v>
      </c>
      <c r="CH113" s="1">
        <v>1</v>
      </c>
      <c r="CI113" s="1"/>
      <c r="CJ113" s="1"/>
      <c r="CK113" s="1"/>
      <c r="CL113" s="1"/>
      <c r="CM113" s="1"/>
      <c r="CN113" s="1"/>
      <c r="CO113" s="1"/>
      <c r="CP113" s="1"/>
      <c r="CQ113" s="1"/>
      <c r="CR113" s="1">
        <v>1</v>
      </c>
      <c r="CS113" s="1">
        <v>1</v>
      </c>
      <c r="CT113" s="1">
        <v>1</v>
      </c>
      <c r="CU113" s="1"/>
      <c r="CV113" s="1"/>
      <c r="CW113" s="1"/>
      <c r="CX113" s="1"/>
      <c r="CY113" s="1"/>
      <c r="CZ113" s="1"/>
      <c r="DA113" s="1"/>
      <c r="DB113" s="1"/>
      <c r="DC113" s="1"/>
      <c r="DD113" s="1">
        <v>1</v>
      </c>
      <c r="DE113" s="1">
        <v>1</v>
      </c>
      <c r="DF113" s="1">
        <v>1</v>
      </c>
      <c r="DG113" s="1"/>
      <c r="DH113" s="1"/>
      <c r="DI113" s="1"/>
      <c r="DJ113" s="1"/>
      <c r="DK113" s="1"/>
      <c r="DL113" s="1"/>
      <c r="DM113" s="1"/>
      <c r="DN113" s="1"/>
      <c r="DO113" s="1"/>
      <c r="DP113" s="1">
        <v>1</v>
      </c>
      <c r="DQ113" s="1">
        <v>2</v>
      </c>
      <c r="DR113" s="1">
        <v>3</v>
      </c>
      <c r="DS113" s="1"/>
      <c r="DT113" s="1"/>
      <c r="DU113" s="1"/>
      <c r="DV113" s="1"/>
      <c r="DW113" s="1"/>
      <c r="DX113" s="1"/>
      <c r="DY113" s="1"/>
      <c r="DZ113" s="1"/>
      <c r="EA113" s="1"/>
    </row>
    <row r="114" spans="1:131" x14ac:dyDescent="0.3">
      <c r="A114">
        <v>8603882</v>
      </c>
      <c r="B114" s="1" t="s">
        <v>316</v>
      </c>
      <c r="C114" s="1" t="s">
        <v>24</v>
      </c>
      <c r="D114" s="1">
        <v>2017</v>
      </c>
      <c r="E114" s="1">
        <v>3</v>
      </c>
      <c r="F114" s="10">
        <f>Table3[[#This Row],[First season 
with SF]]+Table3[[#This Row],['# Services 
provided]]</f>
        <v>7</v>
      </c>
      <c r="G114" s="26">
        <f>(Table3[[#This Row],[Total Income 
(Race + Price 
sold + Offs - maintenance cost)]]-Table3[[#This Row],[Price 
Bought]])/Table3[[#This Row],[Price 
Bought]]</f>
        <v>-1.1299221016666665</v>
      </c>
      <c r="H114" s="31">
        <f>Table3[[#This Row],[Race 
earnings]]+Table3[[#This Row],[Price 
Sold]]-Table3[[#This Row],[Maintenance cost]]+Table3[[#This Row],[Total 
profit (Income - cost)]]</f>
        <v>-77953.260999999999</v>
      </c>
      <c r="I114" s="3">
        <f>_xlfn.IFNA(VLOOKUP(Table3[[#This Row],[damId]],Sheet1!$A$2:$M$970,5, FALSE), VLOOKUP(Table3[[#This Row],[dam]],Sheet1!$B$2:$M$970,4, FALSE))</f>
        <v>0</v>
      </c>
      <c r="J114" s="3">
        <f>_xlfn.IFNA(VLOOKUP(Table3[[#This Row],[damId]],Sheet1!$A$2:$M$970,13, FALSE), VLOOKUP(Table3[[#This Row],[dam]],Sheet1!$B$2:$M$970,13, FALSE))</f>
        <v>-565000</v>
      </c>
      <c r="K114" s="3">
        <f>_xlfn.IFNA(VLOOKUP(Table3[[#This Row],[damId]],Sheet1!$A$2:$M$970,11, FALSE), VLOOKUP(Table3[[#This Row],[dam]],Sheet1!$B$2:$M$970,11, FALSE))</f>
        <v>600000</v>
      </c>
      <c r="L114" s="3">
        <f>_xlfn.IFNA(VLOOKUP(Table3[[#This Row],[damId]],Sheet1!$A$2:$M$970,12, FALSE), VLOOKUP(Table3[[#This Row],[dam]],Sheet1!$B$2:$M$970,12, FALSE))</f>
        <v>35000</v>
      </c>
      <c r="M114" s="3">
        <f>_xlfn.IFNA(VLOOKUP(Table3[[#This Row],[damId]],Sheet1!$A$2:$T$970,20, FALSE), VLOOKUP(Table3[[#This Row],[dam]],Sheet1!$B$2:$T$970,20, FALSE))*Sheet1!$AD$3</f>
        <v>60082.185000000005</v>
      </c>
      <c r="N114" s="3">
        <f>Table3[[#This Row],[Total 
income (Earnings + value - stud fee)]]-Table3[[#This Row],[Maintenance cost ]]</f>
        <v>-52871.076000000001</v>
      </c>
      <c r="O114" s="3">
        <f>SUM(Table3[[#This Row],[income1]:[income12]])</f>
        <v>122074.07399999999</v>
      </c>
      <c r="P114" s="3">
        <f>_xlfn.IFNA(VLOOKUP(Table3[[#This Row],[damId]],Sheet1!$A$2:$Y$970,23, FALSE), VLOOKUP(Table3[[#This Row],[dam]],Sheet1!$B$2:$Y$970,23, FALSE))*Sheet1!$AD$3</f>
        <v>174945.15</v>
      </c>
      <c r="Q114" s="3">
        <f>SUM(Table3[[#This Row],[earningsInRaces1]:[earningsInRaces12]])</f>
        <v>0</v>
      </c>
      <c r="R114" s="3">
        <f>SUM(Table3[[#This Row],[auctionPrice1]:[auctionPrice12]])</f>
        <v>285000</v>
      </c>
      <c r="S114" s="3">
        <f>SUM(Table3[[#This Row],[studFeeUSD1]:[studFeeUSD12]])</f>
        <v>-162925.93</v>
      </c>
      <c r="T114" s="7">
        <f>COUNT(Table3[[#This Row],[successfulService1]:[successfulService12]])</f>
        <v>4</v>
      </c>
      <c r="U114" s="7">
        <f>SUM(Table3[[#This Row],[successfulService1]:[successfulService12]])</f>
        <v>4</v>
      </c>
      <c r="V114" s="7">
        <f>SUM(Table3[[#This Row],[soldInAuction1]:[soldInAuction12]])</f>
        <v>3</v>
      </c>
      <c r="W114" s="7">
        <f>SUM(Table3[[#This Row],[foreignHorse1]:[foreignHorse12]])</f>
        <v>0</v>
      </c>
      <c r="X114" s="3">
        <v>220000</v>
      </c>
      <c r="Y114" s="3">
        <v>-30000</v>
      </c>
      <c r="Z114" s="3">
        <v>-70000</v>
      </c>
      <c r="AA114" s="3">
        <v>2074.0740000000001</v>
      </c>
      <c r="AB114" s="3"/>
      <c r="AC114" s="3"/>
      <c r="AD114" s="3"/>
      <c r="AE114" s="3"/>
      <c r="AF114" s="3"/>
      <c r="AG114" s="3"/>
      <c r="AH114" s="3"/>
      <c r="AI114" s="3"/>
      <c r="AJ114" s="3">
        <v>0</v>
      </c>
      <c r="AK114" s="3">
        <v>0</v>
      </c>
      <c r="AL114" s="3">
        <v>0</v>
      </c>
      <c r="AM114" s="3">
        <v>0</v>
      </c>
      <c r="AN114" s="3"/>
      <c r="AO114" s="3"/>
      <c r="AP114" s="3"/>
      <c r="AQ114" s="3"/>
      <c r="AR114" s="3"/>
      <c r="AS114" s="3"/>
      <c r="AT114" s="3"/>
      <c r="AU114" s="3"/>
      <c r="AV114" s="3">
        <v>220000</v>
      </c>
      <c r="AW114" s="3"/>
      <c r="AX114" s="3">
        <v>30000</v>
      </c>
      <c r="AY114" s="3">
        <v>35000</v>
      </c>
      <c r="AZ114" s="3"/>
      <c r="BA114" s="3"/>
      <c r="BB114" s="3"/>
      <c r="BC114" s="3"/>
      <c r="BD114" s="3"/>
      <c r="BE114" s="3"/>
      <c r="BF114" s="3"/>
      <c r="BG114" s="3"/>
      <c r="BH114" s="3">
        <v>0</v>
      </c>
      <c r="BI114" s="3">
        <v>-30000</v>
      </c>
      <c r="BJ114" s="3">
        <v>-100000</v>
      </c>
      <c r="BK114" s="3">
        <v>-32925.93</v>
      </c>
      <c r="BL114" s="3"/>
      <c r="BM114" s="3"/>
      <c r="BN114" s="3"/>
      <c r="BO114" s="3"/>
      <c r="BP114" s="3"/>
      <c r="BQ114" s="3"/>
      <c r="BR114" s="3"/>
      <c r="BS114" s="3"/>
      <c r="BT114" s="1">
        <v>0</v>
      </c>
      <c r="BU114" s="1">
        <v>0</v>
      </c>
      <c r="BV114" s="1">
        <v>0</v>
      </c>
      <c r="BW114" s="1">
        <v>0</v>
      </c>
      <c r="BX114" s="1"/>
      <c r="BY114" s="1"/>
      <c r="BZ114" s="1"/>
      <c r="CA114" s="1"/>
      <c r="CB114" s="1"/>
      <c r="CC114" s="1"/>
      <c r="CD114" s="1"/>
      <c r="CE114" s="1"/>
      <c r="CF114" s="1">
        <v>1</v>
      </c>
      <c r="CG114" s="1">
        <v>1</v>
      </c>
      <c r="CH114" s="1">
        <v>1</v>
      </c>
      <c r="CI114" s="1">
        <v>1</v>
      </c>
      <c r="CJ114" s="1"/>
      <c r="CK114" s="1"/>
      <c r="CL114" s="1"/>
      <c r="CM114" s="1"/>
      <c r="CN114" s="1"/>
      <c r="CO114" s="1"/>
      <c r="CP114" s="1"/>
      <c r="CQ114" s="1"/>
      <c r="CR114" s="1">
        <v>1</v>
      </c>
      <c r="CS114" s="1">
        <v>0</v>
      </c>
      <c r="CT114" s="1">
        <v>1</v>
      </c>
      <c r="CU114" s="1">
        <v>1</v>
      </c>
      <c r="CV114" s="1"/>
      <c r="CW114" s="1"/>
      <c r="CX114" s="1"/>
      <c r="CY114" s="1"/>
      <c r="CZ114" s="1"/>
      <c r="DA114" s="1"/>
      <c r="DB114" s="1"/>
      <c r="DC114" s="1"/>
      <c r="DD114" s="1">
        <v>0</v>
      </c>
      <c r="DE114" s="1">
        <v>0</v>
      </c>
      <c r="DF114" s="1">
        <v>0</v>
      </c>
      <c r="DG114" s="1">
        <v>0</v>
      </c>
      <c r="DH114" s="1"/>
      <c r="DI114" s="1"/>
      <c r="DJ114" s="1"/>
      <c r="DK114" s="1"/>
      <c r="DL114" s="1"/>
      <c r="DM114" s="1"/>
      <c r="DN114" s="1"/>
      <c r="DO114" s="1"/>
      <c r="DP114" s="1">
        <v>3</v>
      </c>
      <c r="DQ114" s="1">
        <v>4</v>
      </c>
      <c r="DR114" s="1">
        <v>5</v>
      </c>
      <c r="DS114" s="1">
        <v>6</v>
      </c>
      <c r="DT114" s="1"/>
      <c r="DU114" s="1"/>
      <c r="DV114" s="1"/>
      <c r="DW114" s="1"/>
      <c r="DX114" s="1"/>
      <c r="DY114" s="1"/>
      <c r="DZ114" s="1"/>
      <c r="EA114" s="1"/>
    </row>
    <row r="115" spans="1:131" x14ac:dyDescent="0.3">
      <c r="A115">
        <v>8850562</v>
      </c>
      <c r="B115" s="1" t="s">
        <v>358</v>
      </c>
      <c r="C115" s="1" t="s">
        <v>24</v>
      </c>
      <c r="D115" s="1">
        <v>2017</v>
      </c>
      <c r="E115" s="1">
        <v>2</v>
      </c>
      <c r="F115" s="10">
        <f>Table3[[#This Row],[First season 
with SF]]+Table3[[#This Row],['# Services 
provided]]</f>
        <v>5</v>
      </c>
      <c r="G115" s="26">
        <f>(Table3[[#This Row],[Total Income 
(Race + Price 
sold + Offs - maintenance cost)]]-Table3[[#This Row],[Price 
Bought]])/Table3[[#This Row],[Price 
Bought]]</f>
        <v>-0.47426782285714275</v>
      </c>
      <c r="H115" s="31">
        <f>Table3[[#This Row],[Race 
earnings]]+Table3[[#This Row],[Price 
Sold]]-Table3[[#This Row],[Maintenance cost]]+Table3[[#This Row],[Total 
profit (Income - cost)]]</f>
        <v>184006.26200000005</v>
      </c>
      <c r="I115" s="3">
        <f>_xlfn.IFNA(VLOOKUP(Table3[[#This Row],[damId]],Sheet1!$A$2:$M$970,5, FALSE), VLOOKUP(Table3[[#This Row],[dam]],Sheet1!$B$2:$M$970,4, FALSE))</f>
        <v>0</v>
      </c>
      <c r="J115" s="3">
        <f>_xlfn.IFNA(VLOOKUP(Table3[[#This Row],[damId]],Sheet1!$A$2:$M$970,13, FALSE), VLOOKUP(Table3[[#This Row],[dam]],Sheet1!$B$2:$M$970,13, FALSE))</f>
        <v>-350000</v>
      </c>
      <c r="K115" s="3">
        <f>_xlfn.IFNA(VLOOKUP(Table3[[#This Row],[damId]],Sheet1!$A$2:$M$970,11, FALSE), VLOOKUP(Table3[[#This Row],[dam]],Sheet1!$B$2:$M$970,11, FALSE))</f>
        <v>350000</v>
      </c>
      <c r="L115" s="3">
        <f>_xlfn.IFNA(VLOOKUP(Table3[[#This Row],[damId]],Sheet1!$A$2:$M$970,12, FALSE), VLOOKUP(Table3[[#This Row],[dam]],Sheet1!$B$2:$M$970,12, FALSE))</f>
        <v>0</v>
      </c>
      <c r="M115" s="3">
        <f>_xlfn.IFNA(VLOOKUP(Table3[[#This Row],[damId]],Sheet1!$A$2:$T$970,20, FALSE), VLOOKUP(Table3[[#This Row],[dam]],Sheet1!$B$2:$T$970,20, FALSE))*Sheet1!$AD$3</f>
        <v>124191.77999999998</v>
      </c>
      <c r="N115" s="3">
        <f>Table3[[#This Row],[Total 
income (Earnings + value - stud fee)]]-Table3[[#This Row],[Maintenance cost ]]</f>
        <v>308198.04200000002</v>
      </c>
      <c r="O115" s="3">
        <f>SUM(Table3[[#This Row],[income1]:[income12]])</f>
        <v>317609</v>
      </c>
      <c r="P115" s="3">
        <f>_xlfn.IFNA(VLOOKUP(Table3[[#This Row],[damId]],Sheet1!$A$2:$Y$970,23, FALSE), VLOOKUP(Table3[[#This Row],[dam]],Sheet1!$B$2:$Y$970,23, FALSE))*Sheet1!$AD$3</f>
        <v>9410.9580000000005</v>
      </c>
      <c r="Q115" s="3">
        <f>SUM(Table3[[#This Row],[earningsInRaces1]:[earningsInRaces12]])</f>
        <v>0</v>
      </c>
      <c r="R115" s="3">
        <f>SUM(Table3[[#This Row],[auctionPrice1]:[auctionPrice12]])</f>
        <v>317609</v>
      </c>
      <c r="S115" s="3">
        <f>SUM(Table3[[#This Row],[studFeeUSD1]:[studFeeUSD12]])</f>
        <v>0</v>
      </c>
      <c r="T115" s="7">
        <f>COUNT(Table3[[#This Row],[successfulService1]:[successfulService12]])</f>
        <v>3</v>
      </c>
      <c r="U115" s="7">
        <f>SUM(Table3[[#This Row],[successfulService1]:[successfulService12]])</f>
        <v>3</v>
      </c>
      <c r="V115" s="7">
        <f>SUM(Table3[[#This Row],[soldInAuction1]:[soldInAuction12]])</f>
        <v>2</v>
      </c>
      <c r="W115" s="7">
        <f>SUM(Table3[[#This Row],[foreignHorse1]:[foreignHorse12]])</f>
        <v>2</v>
      </c>
      <c r="X115" s="3">
        <v>275000</v>
      </c>
      <c r="Y115" s="3">
        <v>42609</v>
      </c>
      <c r="Z115" s="3">
        <v>0</v>
      </c>
      <c r="AA115" s="3"/>
      <c r="AB115" s="3"/>
      <c r="AC115" s="3"/>
      <c r="AD115" s="3"/>
      <c r="AE115" s="3"/>
      <c r="AF115" s="3"/>
      <c r="AG115" s="3"/>
      <c r="AH115" s="3"/>
      <c r="AI115" s="3"/>
      <c r="AJ115" s="3">
        <v>0</v>
      </c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>
        <v>275000</v>
      </c>
      <c r="AW115" s="3">
        <v>42609</v>
      </c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>
        <v>0</v>
      </c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1">
        <v>0</v>
      </c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>
        <v>1</v>
      </c>
      <c r="CG115" s="1">
        <v>1</v>
      </c>
      <c r="CH115" s="1">
        <v>1</v>
      </c>
      <c r="CI115" s="1"/>
      <c r="CJ115" s="1"/>
      <c r="CK115" s="1"/>
      <c r="CL115" s="1"/>
      <c r="CM115" s="1"/>
      <c r="CN115" s="1"/>
      <c r="CO115" s="1"/>
      <c r="CP115" s="1"/>
      <c r="CQ115" s="1"/>
      <c r="CR115" s="1">
        <v>1</v>
      </c>
      <c r="CS115" s="1">
        <v>1</v>
      </c>
      <c r="CT115" s="1">
        <v>0</v>
      </c>
      <c r="CU115" s="1"/>
      <c r="CV115" s="1"/>
      <c r="CW115" s="1"/>
      <c r="CX115" s="1"/>
      <c r="CY115" s="1"/>
      <c r="CZ115" s="1"/>
      <c r="DA115" s="1"/>
      <c r="DB115" s="1"/>
      <c r="DC115" s="1"/>
      <c r="DD115" s="1">
        <v>0</v>
      </c>
      <c r="DE115" s="1">
        <v>1</v>
      </c>
      <c r="DF115" s="1">
        <v>1</v>
      </c>
      <c r="DG115" s="1"/>
      <c r="DH115" s="1"/>
      <c r="DI115" s="1"/>
      <c r="DJ115" s="1"/>
      <c r="DK115" s="1"/>
      <c r="DL115" s="1"/>
      <c r="DM115" s="1"/>
      <c r="DN115" s="1"/>
      <c r="DO115" s="1"/>
      <c r="DP115" s="1">
        <v>2</v>
      </c>
      <c r="DQ115" s="1">
        <v>3</v>
      </c>
      <c r="DR115" s="1">
        <v>4</v>
      </c>
      <c r="DS115" s="1"/>
      <c r="DT115" s="1"/>
      <c r="DU115" s="1"/>
      <c r="DV115" s="1"/>
      <c r="DW115" s="1"/>
      <c r="DX115" s="1"/>
      <c r="DY115" s="1"/>
      <c r="DZ115" s="1"/>
      <c r="EA115" s="1"/>
    </row>
    <row r="116" spans="1:131" x14ac:dyDescent="0.3">
      <c r="A116">
        <v>8857635</v>
      </c>
      <c r="B116" s="1" t="s">
        <v>368</v>
      </c>
      <c r="C116" s="1" t="s">
        <v>139</v>
      </c>
      <c r="D116" s="1">
        <v>2017</v>
      </c>
      <c r="E116" s="1">
        <v>1</v>
      </c>
      <c r="F116" s="10">
        <f>Table3[[#This Row],[First season 
with SF]]+Table3[[#This Row],['# Services 
provided]]</f>
        <v>8</v>
      </c>
      <c r="G116" s="26">
        <f>(Table3[[#This Row],[Total Income 
(Race + Price 
sold + Offs - maintenance cost)]]-Table3[[#This Row],[Price 
Bought]])/Table3[[#This Row],[Price 
Bought]]</f>
        <v>4.6224750800000001</v>
      </c>
      <c r="H116" s="31">
        <f>Table3[[#This Row],[Race 
earnings]]+Table3[[#This Row],[Price 
Sold]]-Table3[[#This Row],[Maintenance cost]]+Table3[[#This Row],[Total 
profit (Income - cost)]]</f>
        <v>702809.38500000001</v>
      </c>
      <c r="I116" s="3">
        <f>_xlfn.IFNA(VLOOKUP(Table3[[#This Row],[damId]],Sheet1!$A$2:$M$970,5, FALSE), VLOOKUP(Table3[[#This Row],[dam]],Sheet1!$B$2:$M$970,4, FALSE))</f>
        <v>0</v>
      </c>
      <c r="J116" s="3">
        <f>_xlfn.IFNA(VLOOKUP(Table3[[#This Row],[damId]],Sheet1!$A$2:$M$970,13, FALSE), VLOOKUP(Table3[[#This Row],[dam]],Sheet1!$B$2:$M$970,13, FALSE))</f>
        <v>-125000</v>
      </c>
      <c r="K116" s="3">
        <f>_xlfn.IFNA(VLOOKUP(Table3[[#This Row],[damId]],Sheet1!$A$2:$M$970,11, FALSE), VLOOKUP(Table3[[#This Row],[dam]],Sheet1!$B$2:$M$970,11, FALSE))</f>
        <v>125000</v>
      </c>
      <c r="L116" s="3">
        <f>_xlfn.IFNA(VLOOKUP(Table3[[#This Row],[damId]],Sheet1!$A$2:$M$970,12, FALSE), VLOOKUP(Table3[[#This Row],[dam]],Sheet1!$B$2:$M$970,12, FALSE))</f>
        <v>0</v>
      </c>
      <c r="M116" s="3">
        <f>_xlfn.IFNA(VLOOKUP(Table3[[#This Row],[damId]],Sheet1!$A$2:$T$970,20, FALSE), VLOOKUP(Table3[[#This Row],[dam]],Sheet1!$B$2:$T$970,20, FALSE))*Sheet1!$AD$3</f>
        <v>139561.65</v>
      </c>
      <c r="N116" s="3">
        <f>Table3[[#This Row],[Total 
income (Earnings + value - stud fee)]]-Table3[[#This Row],[Maintenance cost ]]</f>
        <v>842371.03500000003</v>
      </c>
      <c r="O116" s="3">
        <f>SUM(Table3[[#This Row],[income1]:[income12]])</f>
        <v>864645</v>
      </c>
      <c r="P116" s="3">
        <f>_xlfn.IFNA(VLOOKUP(Table3[[#This Row],[damId]],Sheet1!$A$2:$Y$970,23, FALSE), VLOOKUP(Table3[[#This Row],[dam]],Sheet1!$B$2:$Y$970,23, FALSE))*Sheet1!$AD$3</f>
        <v>22273.965</v>
      </c>
      <c r="Q116" s="3">
        <f>SUM(Table3[[#This Row],[earningsInRaces1]:[earningsInRaces12]])</f>
        <v>0</v>
      </c>
      <c r="R116" s="3">
        <f>SUM(Table3[[#This Row],[auctionPrice1]:[auctionPrice12]])</f>
        <v>879645</v>
      </c>
      <c r="S116" s="3">
        <f>SUM(Table3[[#This Row],[studFeeUSD1]:[studFeeUSD12]])</f>
        <v>-15000</v>
      </c>
      <c r="T116" s="7">
        <f>COUNT(Table3[[#This Row],[successfulService1]:[successfulService12]])</f>
        <v>7</v>
      </c>
      <c r="U116" s="7">
        <f>SUM(Table3[[#This Row],[successfulService1]:[successfulService12]])</f>
        <v>6</v>
      </c>
      <c r="V116" s="7">
        <f>SUM(Table3[[#This Row],[soldInAuction1]:[soldInAuction12]])</f>
        <v>6</v>
      </c>
      <c r="W116" s="7">
        <f>SUM(Table3[[#This Row],[foreignHorse1]:[foreignHorse12]])</f>
        <v>3</v>
      </c>
      <c r="X116" s="3">
        <v>45000</v>
      </c>
      <c r="Y116" s="3">
        <v>48064</v>
      </c>
      <c r="Z116" s="3">
        <v>139216</v>
      </c>
      <c r="AA116" s="3">
        <v>382149</v>
      </c>
      <c r="AB116" s="3">
        <v>0</v>
      </c>
      <c r="AC116" s="3">
        <v>197377</v>
      </c>
      <c r="AD116" s="3">
        <v>52839</v>
      </c>
      <c r="AE116" s="3"/>
      <c r="AF116" s="3"/>
      <c r="AG116" s="3"/>
      <c r="AH116" s="3"/>
      <c r="AI116" s="3"/>
      <c r="AJ116" s="3">
        <v>0</v>
      </c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>
        <v>60000</v>
      </c>
      <c r="AW116" s="3">
        <v>48064</v>
      </c>
      <c r="AX116" s="3">
        <v>139216</v>
      </c>
      <c r="AY116" s="3">
        <v>382149</v>
      </c>
      <c r="AZ116" s="3"/>
      <c r="BA116" s="3">
        <v>197377</v>
      </c>
      <c r="BB116" s="3">
        <v>52839</v>
      </c>
      <c r="BC116" s="3"/>
      <c r="BD116" s="3"/>
      <c r="BE116" s="3"/>
      <c r="BF116" s="3"/>
      <c r="BG116" s="3"/>
      <c r="BH116" s="3">
        <v>-15000</v>
      </c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1">
        <v>0</v>
      </c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>
        <v>1</v>
      </c>
      <c r="CG116" s="1">
        <v>1</v>
      </c>
      <c r="CH116" s="1">
        <v>1</v>
      </c>
      <c r="CI116" s="1">
        <v>1</v>
      </c>
      <c r="CJ116" s="1">
        <v>0</v>
      </c>
      <c r="CK116" s="1">
        <v>1</v>
      </c>
      <c r="CL116" s="1">
        <v>1</v>
      </c>
      <c r="CM116" s="1"/>
      <c r="CN116" s="1"/>
      <c r="CO116" s="1"/>
      <c r="CP116" s="1"/>
      <c r="CQ116" s="1"/>
      <c r="CR116" s="1">
        <v>1</v>
      </c>
      <c r="CS116" s="1">
        <v>1</v>
      </c>
      <c r="CT116" s="1">
        <v>1</v>
      </c>
      <c r="CU116" s="1">
        <v>1</v>
      </c>
      <c r="CV116" s="1">
        <v>0</v>
      </c>
      <c r="CW116" s="1">
        <v>1</v>
      </c>
      <c r="CX116" s="1">
        <v>1</v>
      </c>
      <c r="CY116" s="1"/>
      <c r="CZ116" s="1"/>
      <c r="DA116" s="1"/>
      <c r="DB116" s="1"/>
      <c r="DC116" s="1"/>
      <c r="DD116" s="1">
        <v>0</v>
      </c>
      <c r="DE116" s="1">
        <v>1</v>
      </c>
      <c r="DF116" s="1">
        <v>1</v>
      </c>
      <c r="DG116" s="1">
        <v>1</v>
      </c>
      <c r="DH116" s="1">
        <v>0</v>
      </c>
      <c r="DI116" s="1">
        <v>0</v>
      </c>
      <c r="DJ116" s="1">
        <v>0</v>
      </c>
      <c r="DK116" s="1"/>
      <c r="DL116" s="1"/>
      <c r="DM116" s="1"/>
      <c r="DN116" s="1"/>
      <c r="DO116" s="1"/>
      <c r="DP116" s="1">
        <v>1</v>
      </c>
      <c r="DQ116" s="1">
        <v>2</v>
      </c>
      <c r="DR116" s="1">
        <v>3</v>
      </c>
      <c r="DS116" s="1">
        <v>4</v>
      </c>
      <c r="DT116" s="1">
        <v>5</v>
      </c>
      <c r="DU116" s="1">
        <v>6</v>
      </c>
      <c r="DV116" s="1">
        <v>7</v>
      </c>
      <c r="DW116" s="1"/>
      <c r="DX116" s="1"/>
      <c r="DY116" s="1"/>
      <c r="DZ116" s="1"/>
      <c r="EA116" s="1"/>
    </row>
    <row r="117" spans="1:131" x14ac:dyDescent="0.3">
      <c r="A117">
        <v>8875875</v>
      </c>
      <c r="B117" s="1" t="s">
        <v>382</v>
      </c>
      <c r="C117" s="1" t="s">
        <v>24</v>
      </c>
      <c r="D117" s="1">
        <v>2017</v>
      </c>
      <c r="E117" s="1">
        <v>1</v>
      </c>
      <c r="F117" s="10">
        <f>Table3[[#This Row],[First season 
with SF]]+Table3[[#This Row],['# Services 
provided]]</f>
        <v>9</v>
      </c>
      <c r="G117" s="26">
        <f>(Table3[[#This Row],[Total Income 
(Race + Price 
sold + Offs - maintenance cost)]]-Table3[[#This Row],[Price 
Bought]])/Table3[[#This Row],[Price 
Bought]]</f>
        <v>1.8140494847222222</v>
      </c>
      <c r="H117" s="31">
        <f>Table3[[#This Row],[Race 
earnings]]+Table3[[#This Row],[Price 
Sold]]-Table3[[#This Row],[Maintenance cost]]+Table3[[#This Row],[Total 
profit (Income - cost)]]</f>
        <v>1013057.8145</v>
      </c>
      <c r="I117" s="3">
        <f>_xlfn.IFNA(VLOOKUP(Table3[[#This Row],[damId]],Sheet1!$A$2:$M$970,5, FALSE), VLOOKUP(Table3[[#This Row],[dam]],Sheet1!$B$2:$M$970,4, FALSE))</f>
        <v>0</v>
      </c>
      <c r="J117" s="3">
        <f>_xlfn.IFNA(VLOOKUP(Table3[[#This Row],[damId]],Sheet1!$A$2:$M$970,13, FALSE), VLOOKUP(Table3[[#This Row],[dam]],Sheet1!$B$2:$M$970,13, FALSE))</f>
        <v>-360000</v>
      </c>
      <c r="K117" s="3">
        <f>_xlfn.IFNA(VLOOKUP(Table3[[#This Row],[damId]],Sheet1!$A$2:$M$970,11, FALSE), VLOOKUP(Table3[[#This Row],[dam]],Sheet1!$B$2:$M$970,11, FALSE))</f>
        <v>360000</v>
      </c>
      <c r="L117" s="3">
        <f>_xlfn.IFNA(VLOOKUP(Table3[[#This Row],[damId]],Sheet1!$A$2:$M$970,12, FALSE), VLOOKUP(Table3[[#This Row],[dam]],Sheet1!$B$2:$M$970,12, FALSE))</f>
        <v>0</v>
      </c>
      <c r="M117" s="3">
        <f>_xlfn.IFNA(VLOOKUP(Table3[[#This Row],[damId]],Sheet1!$A$2:$T$970,20, FALSE), VLOOKUP(Table3[[#This Row],[dam]],Sheet1!$B$2:$T$970,20, FALSE))*Sheet1!$AD$3</f>
        <v>124232.88</v>
      </c>
      <c r="N117" s="3">
        <f>Table3[[#This Row],[Total 
income (Earnings + value - stud fee)]]-Table3[[#This Row],[Maintenance cost ]]</f>
        <v>1137290.6945</v>
      </c>
      <c r="O117" s="3">
        <f>SUM(Table3[[#This Row],[income1]:[income12]])</f>
        <v>1147235.8999999999</v>
      </c>
      <c r="P117" s="3">
        <f>_xlfn.IFNA(VLOOKUP(Table3[[#This Row],[damId]],Sheet1!$A$2:$Y$970,23, FALSE), VLOOKUP(Table3[[#This Row],[dam]],Sheet1!$B$2:$Y$970,23, FALSE))*Sheet1!$AD$3</f>
        <v>9945.2055</v>
      </c>
      <c r="Q117" s="3">
        <f>SUM(Table3[[#This Row],[earningsInRaces1]:[earningsInRaces12]])</f>
        <v>0</v>
      </c>
      <c r="R117" s="3">
        <f>SUM(Table3[[#This Row],[auctionPrice1]:[auctionPrice12]])</f>
        <v>1188347</v>
      </c>
      <c r="S117" s="3">
        <f>SUM(Table3[[#This Row],[studFeeUSD1]:[studFeeUSD12]])</f>
        <v>-41111.11</v>
      </c>
      <c r="T117" s="7">
        <f>COUNT(Table3[[#This Row],[successfulService1]:[successfulService12]])</f>
        <v>8</v>
      </c>
      <c r="U117" s="7">
        <f>SUM(Table3[[#This Row],[successfulService1]:[successfulService12]])</f>
        <v>6</v>
      </c>
      <c r="V117" s="7">
        <f>SUM(Table3[[#This Row],[soldInAuction1]:[soldInAuction12]])</f>
        <v>5</v>
      </c>
      <c r="W117" s="7">
        <f>SUM(Table3[[#This Row],[foreignHorse1]:[foreignHorse12]])</f>
        <v>3</v>
      </c>
      <c r="X117" s="3">
        <v>150000</v>
      </c>
      <c r="Y117" s="3">
        <v>86662</v>
      </c>
      <c r="Z117" s="3">
        <v>560090</v>
      </c>
      <c r="AA117" s="3">
        <v>186222.9</v>
      </c>
      <c r="AB117" s="3">
        <v>0</v>
      </c>
      <c r="AC117" s="3">
        <v>164261</v>
      </c>
      <c r="AD117" s="3">
        <v>0</v>
      </c>
      <c r="AE117" s="3">
        <v>0</v>
      </c>
      <c r="AF117" s="3"/>
      <c r="AG117" s="3"/>
      <c r="AH117" s="3"/>
      <c r="AI117" s="3"/>
      <c r="AJ117" s="3">
        <v>0</v>
      </c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>
        <v>150000</v>
      </c>
      <c r="AW117" s="3">
        <v>86662</v>
      </c>
      <c r="AX117" s="3">
        <v>560090</v>
      </c>
      <c r="AY117" s="3">
        <v>227334</v>
      </c>
      <c r="AZ117" s="3"/>
      <c r="BA117" s="3">
        <v>164261</v>
      </c>
      <c r="BB117" s="3"/>
      <c r="BC117" s="3"/>
      <c r="BD117" s="3"/>
      <c r="BE117" s="3"/>
      <c r="BF117" s="3"/>
      <c r="BG117" s="3"/>
      <c r="BH117" s="3">
        <v>0</v>
      </c>
      <c r="BI117" s="3"/>
      <c r="BJ117" s="3"/>
      <c r="BK117" s="3">
        <v>-41111.11</v>
      </c>
      <c r="BL117" s="3"/>
      <c r="BM117" s="3"/>
      <c r="BN117" s="3"/>
      <c r="BO117" s="3"/>
      <c r="BP117" s="3"/>
      <c r="BQ117" s="3"/>
      <c r="BR117" s="3"/>
      <c r="BS117" s="3"/>
      <c r="BT117" s="1">
        <v>0</v>
      </c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>
        <v>1</v>
      </c>
      <c r="CG117" s="1">
        <v>1</v>
      </c>
      <c r="CH117" s="1">
        <v>1</v>
      </c>
      <c r="CI117" s="1">
        <v>1</v>
      </c>
      <c r="CJ117" s="1">
        <v>1</v>
      </c>
      <c r="CK117" s="1">
        <v>1</v>
      </c>
      <c r="CL117" s="1">
        <v>0</v>
      </c>
      <c r="CM117" s="1">
        <v>0</v>
      </c>
      <c r="CN117" s="1"/>
      <c r="CO117" s="1"/>
      <c r="CP117" s="1"/>
      <c r="CQ117" s="1"/>
      <c r="CR117" s="1">
        <v>1</v>
      </c>
      <c r="CS117" s="1">
        <v>1</v>
      </c>
      <c r="CT117" s="1">
        <v>1</v>
      </c>
      <c r="CU117" s="1">
        <v>1</v>
      </c>
      <c r="CV117" s="1">
        <v>0</v>
      </c>
      <c r="CW117" s="1">
        <v>1</v>
      </c>
      <c r="CX117" s="1">
        <v>0</v>
      </c>
      <c r="CY117" s="1">
        <v>0</v>
      </c>
      <c r="CZ117" s="1"/>
      <c r="DA117" s="1"/>
      <c r="DB117" s="1"/>
      <c r="DC117" s="1"/>
      <c r="DD117" s="1">
        <v>0</v>
      </c>
      <c r="DE117" s="1">
        <v>1</v>
      </c>
      <c r="DF117" s="1">
        <v>1</v>
      </c>
      <c r="DG117" s="1">
        <v>1</v>
      </c>
      <c r="DH117" s="1">
        <v>0</v>
      </c>
      <c r="DI117" s="1">
        <v>0</v>
      </c>
      <c r="DJ117" s="1">
        <v>0</v>
      </c>
      <c r="DK117" s="1">
        <v>0</v>
      </c>
      <c r="DL117" s="1"/>
      <c r="DM117" s="1"/>
      <c r="DN117" s="1"/>
      <c r="DO117" s="1"/>
      <c r="DP117" s="1">
        <v>1</v>
      </c>
      <c r="DQ117" s="1">
        <v>2</v>
      </c>
      <c r="DR117" s="1">
        <v>3</v>
      </c>
      <c r="DS117" s="1">
        <v>4</v>
      </c>
      <c r="DT117" s="1">
        <v>5</v>
      </c>
      <c r="DU117" s="1">
        <v>6</v>
      </c>
      <c r="DV117" s="1">
        <v>7</v>
      </c>
      <c r="DW117" s="1">
        <v>8</v>
      </c>
      <c r="DX117" s="1"/>
      <c r="DY117" s="1"/>
      <c r="DZ117" s="1"/>
      <c r="EA117" s="1"/>
    </row>
    <row r="118" spans="1:131" x14ac:dyDescent="0.3">
      <c r="A118">
        <v>8894817</v>
      </c>
      <c r="B118" s="1" t="s">
        <v>396</v>
      </c>
      <c r="C118" s="1" t="s">
        <v>139</v>
      </c>
      <c r="D118" s="1">
        <v>2017</v>
      </c>
      <c r="E118" s="1">
        <v>1</v>
      </c>
      <c r="F118" s="10">
        <f>Table3[[#This Row],[First season 
with SF]]+Table3[[#This Row],['# Services 
provided]]</f>
        <v>2</v>
      </c>
      <c r="G118" s="26">
        <f>(Table3[[#This Row],[Total Income 
(Race + Price 
sold + Offs - maintenance cost)]]-Table3[[#This Row],[Price 
Bought]])/Table3[[#This Row],[Price 
Bought]]</f>
        <v>1.8508290631578947</v>
      </c>
      <c r="H118" s="31">
        <f>Table3[[#This Row],[Race 
earnings]]+Table3[[#This Row],[Price 
Sold]]-Table3[[#This Row],[Maintenance cost]]+Table3[[#This Row],[Total 
profit (Income - cost)]]</f>
        <v>270828.761</v>
      </c>
      <c r="I118" s="3">
        <f>_xlfn.IFNA(VLOOKUP(Table3[[#This Row],[damId]],Sheet1!$A$2:$M$970,5, FALSE), VLOOKUP(Table3[[#This Row],[dam]],Sheet1!$B$2:$M$970,4, FALSE))</f>
        <v>0</v>
      </c>
      <c r="J118" s="3">
        <f>_xlfn.IFNA(VLOOKUP(Table3[[#This Row],[damId]],Sheet1!$A$2:$M$970,13, FALSE), VLOOKUP(Table3[[#This Row],[dam]],Sheet1!$B$2:$M$970,13, FALSE))</f>
        <v>75000</v>
      </c>
      <c r="K118" s="3">
        <f>_xlfn.IFNA(VLOOKUP(Table3[[#This Row],[damId]],Sheet1!$A$2:$M$970,11, FALSE), VLOOKUP(Table3[[#This Row],[dam]],Sheet1!$B$2:$M$970,11, FALSE))</f>
        <v>95000</v>
      </c>
      <c r="L118" s="3">
        <f>_xlfn.IFNA(VLOOKUP(Table3[[#This Row],[damId]],Sheet1!$A$2:$M$970,12, FALSE), VLOOKUP(Table3[[#This Row],[dam]],Sheet1!$B$2:$M$970,12, FALSE))</f>
        <v>170000</v>
      </c>
      <c r="M118" s="3">
        <f>_xlfn.IFNA(VLOOKUP(Table3[[#This Row],[damId]],Sheet1!$A$2:$T$970,20, FALSE), VLOOKUP(Table3[[#This Row],[dam]],Sheet1!$B$2:$T$970,20, FALSE))*Sheet1!$AD$3</f>
        <v>30205.484999999997</v>
      </c>
      <c r="N118" s="3">
        <f>Table3[[#This Row],[Total 
income (Earnings + value - stud fee)]]-Table3[[#This Row],[Maintenance cost ]]</f>
        <v>131034.246</v>
      </c>
      <c r="O118" s="3">
        <f>SUM(Table3[[#This Row],[income1]:[income12]])</f>
        <v>142500</v>
      </c>
      <c r="P118" s="3">
        <f>_xlfn.IFNA(VLOOKUP(Table3[[#This Row],[damId]],Sheet1!$A$2:$Y$970,23, FALSE), VLOOKUP(Table3[[#This Row],[dam]],Sheet1!$B$2:$Y$970,23, FALSE))*Sheet1!$AD$3</f>
        <v>11465.754000000001</v>
      </c>
      <c r="Q118" s="3">
        <f>SUM(Table3[[#This Row],[earningsInRaces1]:[earningsInRaces12]])</f>
        <v>0</v>
      </c>
      <c r="R118" s="3">
        <f>SUM(Table3[[#This Row],[auctionPrice1]:[auctionPrice12]])</f>
        <v>155000</v>
      </c>
      <c r="S118" s="3">
        <f>SUM(Table3[[#This Row],[studFeeUSD1]:[studFeeUSD12]])</f>
        <v>-12500</v>
      </c>
      <c r="T118" s="7">
        <f>COUNT(Table3[[#This Row],[successfulService1]:[successfulService12]])</f>
        <v>1</v>
      </c>
      <c r="U118" s="7">
        <f>SUM(Table3[[#This Row],[successfulService1]:[successfulService12]])</f>
        <v>1</v>
      </c>
      <c r="V118" s="7">
        <f>SUM(Table3[[#This Row],[soldInAuction1]:[soldInAuction12]])</f>
        <v>1</v>
      </c>
      <c r="W118" s="7">
        <f>SUM(Table3[[#This Row],[foreignHorse1]:[foreignHorse12]])</f>
        <v>0</v>
      </c>
      <c r="X118" s="3">
        <v>142500</v>
      </c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>
        <v>0</v>
      </c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>
        <v>155000</v>
      </c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>
        <v>-12500</v>
      </c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1">
        <v>0</v>
      </c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>
        <v>1</v>
      </c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>
        <v>1</v>
      </c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>
        <v>0</v>
      </c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>
        <v>1</v>
      </c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</row>
    <row r="119" spans="1:131" x14ac:dyDescent="0.3">
      <c r="A119">
        <v>8902883</v>
      </c>
      <c r="B119" s="1" t="s">
        <v>398</v>
      </c>
      <c r="C119" s="1" t="s">
        <v>139</v>
      </c>
      <c r="D119" s="1">
        <v>2017</v>
      </c>
      <c r="E119" s="1">
        <v>1</v>
      </c>
      <c r="F119" s="10">
        <f>Table3[[#This Row],[First season 
with SF]]+Table3[[#This Row],['# Services 
provided]]</f>
        <v>2</v>
      </c>
      <c r="G119" s="26">
        <f>(Table3[[#This Row],[Total Income 
(Race + Price 
sold + Offs - maintenance cost)]]-Table3[[#This Row],[Price 
Bought]])/Table3[[#This Row],[Price 
Bought]]</f>
        <v>0.10033972800000011</v>
      </c>
      <c r="H119" s="31">
        <f>Table3[[#This Row],[Race 
earnings]]+Table3[[#This Row],[Price 
Sold]]-Table3[[#This Row],[Maintenance cost]]+Table3[[#This Row],[Total 
profit (Income - cost)]]</f>
        <v>275084.93200000003</v>
      </c>
      <c r="I119" s="3">
        <f>_xlfn.IFNA(VLOOKUP(Table3[[#This Row],[damId]],Sheet1!$A$2:$M$970,5, FALSE), VLOOKUP(Table3[[#This Row],[dam]],Sheet1!$B$2:$M$970,4, FALSE))</f>
        <v>0</v>
      </c>
      <c r="J119" s="3">
        <f>_xlfn.IFNA(VLOOKUP(Table3[[#This Row],[damId]],Sheet1!$A$2:$M$970,13, FALSE), VLOOKUP(Table3[[#This Row],[dam]],Sheet1!$B$2:$M$970,13, FALSE))</f>
        <v>123300</v>
      </c>
      <c r="K119" s="3">
        <f>_xlfn.IFNA(VLOOKUP(Table3[[#This Row],[damId]],Sheet1!$A$2:$M$970,11, FALSE), VLOOKUP(Table3[[#This Row],[dam]],Sheet1!$B$2:$M$970,11, FALSE))</f>
        <v>250000</v>
      </c>
      <c r="L119" s="3">
        <f>_xlfn.IFNA(VLOOKUP(Table3[[#This Row],[damId]],Sheet1!$A$2:$M$970,12, FALSE), VLOOKUP(Table3[[#This Row],[dam]],Sheet1!$B$2:$M$970,12, FALSE))</f>
        <v>373300</v>
      </c>
      <c r="M119" s="3">
        <f>_xlfn.IFNA(VLOOKUP(Table3[[#This Row],[damId]],Sheet1!$A$2:$T$970,20, FALSE), VLOOKUP(Table3[[#This Row],[dam]],Sheet1!$B$2:$T$970,20, FALSE))*Sheet1!$AD$3</f>
        <v>13315.067999999999</v>
      </c>
      <c r="N119" s="3">
        <f>Table3[[#This Row],[Total 
income (Earnings + value - stud fee)]]-Table3[[#This Row],[Maintenance cost ]]</f>
        <v>-84900</v>
      </c>
      <c r="O119" s="3">
        <f>SUM(Table3[[#This Row],[income1]:[income12]])</f>
        <v>-84900</v>
      </c>
      <c r="P119" s="3">
        <f>_xlfn.IFNA(VLOOKUP(Table3[[#This Row],[damId]],Sheet1!$A$2:$Y$970,23, FALSE), VLOOKUP(Table3[[#This Row],[dam]],Sheet1!$B$2:$Y$970,23, FALSE))*Sheet1!$AD$3</f>
        <v>0</v>
      </c>
      <c r="Q119" s="3">
        <f>SUM(Table3[[#This Row],[earningsInRaces1]:[earningsInRaces12]])</f>
        <v>0</v>
      </c>
      <c r="R119" s="3">
        <f>SUM(Table3[[#This Row],[auctionPrice1]:[auctionPrice12]])</f>
        <v>215100</v>
      </c>
      <c r="S119" s="3">
        <f>SUM(Table3[[#This Row],[studFeeUSD1]:[studFeeUSD12]])</f>
        <v>-300000</v>
      </c>
      <c r="T119" s="7">
        <f>COUNT(Table3[[#This Row],[successfulService1]:[successfulService12]])</f>
        <v>1</v>
      </c>
      <c r="U119" s="7">
        <f>SUM(Table3[[#This Row],[successfulService1]:[successfulService12]])</f>
        <v>1</v>
      </c>
      <c r="V119" s="7">
        <f>SUM(Table3[[#This Row],[soldInAuction1]:[soldInAuction12]])</f>
        <v>1</v>
      </c>
      <c r="W119" s="7">
        <f>SUM(Table3[[#This Row],[foreignHorse1]:[foreignHorse12]])</f>
        <v>1</v>
      </c>
      <c r="X119" s="3">
        <v>-84900</v>
      </c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>
        <v>215100</v>
      </c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>
        <v>-300000</v>
      </c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>
        <v>1</v>
      </c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>
        <v>1</v>
      </c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>
        <v>1</v>
      </c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>
        <v>1</v>
      </c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</row>
    <row r="120" spans="1:131" x14ac:dyDescent="0.3">
      <c r="A120">
        <v>9065281</v>
      </c>
      <c r="B120" s="1" t="s">
        <v>406</v>
      </c>
      <c r="C120" s="1" t="s">
        <v>139</v>
      </c>
      <c r="D120" s="1">
        <v>2017</v>
      </c>
      <c r="E120" s="1">
        <v>1</v>
      </c>
      <c r="F120" s="10">
        <f>Table3[[#This Row],[First season 
with SF]]+Table3[[#This Row],['# Services 
provided]]</f>
        <v>6</v>
      </c>
      <c r="G120" s="26">
        <f>(Table3[[#This Row],[Total Income 
(Race + Price 
sold + Offs - maintenance cost)]]-Table3[[#This Row],[Price 
Bought]])/Table3[[#This Row],[Price 
Bought]]</f>
        <v>-1.6858795192307692</v>
      </c>
      <c r="H120" s="31">
        <f>Table3[[#This Row],[Race 
earnings]]+Table3[[#This Row],[Price 
Sold]]-Table3[[#This Row],[Maintenance cost]]+Table3[[#This Row],[Total 
profit (Income - cost)]]</f>
        <v>-35665.735000000001</v>
      </c>
      <c r="I120" s="3">
        <f>_xlfn.IFNA(VLOOKUP(Table3[[#This Row],[damId]],Sheet1!$A$2:$M$970,5, FALSE), VLOOKUP(Table3[[#This Row],[dam]],Sheet1!$B$2:$M$970,4, FALSE))</f>
        <v>0</v>
      </c>
      <c r="J120" s="3">
        <f>_xlfn.IFNA(VLOOKUP(Table3[[#This Row],[damId]],Sheet1!$A$2:$M$970,13, FALSE), VLOOKUP(Table3[[#This Row],[dam]],Sheet1!$B$2:$M$970,13, FALSE))</f>
        <v>26437</v>
      </c>
      <c r="K120" s="3">
        <f>_xlfn.IFNA(VLOOKUP(Table3[[#This Row],[damId]],Sheet1!$A$2:$M$970,11, FALSE), VLOOKUP(Table3[[#This Row],[dam]],Sheet1!$B$2:$M$970,11, FALSE))</f>
        <v>52000</v>
      </c>
      <c r="L120" s="3">
        <f>_xlfn.IFNA(VLOOKUP(Table3[[#This Row],[damId]],Sheet1!$A$2:$M$970,12, FALSE), VLOOKUP(Table3[[#This Row],[dam]],Sheet1!$B$2:$M$970,12, FALSE))</f>
        <v>78437</v>
      </c>
      <c r="M120" s="3">
        <f>_xlfn.IFNA(VLOOKUP(Table3[[#This Row],[damId]],Sheet1!$A$2:$T$970,20, FALSE), VLOOKUP(Table3[[#This Row],[dam]],Sheet1!$B$2:$T$970,20, FALSE))*Sheet1!$AD$3</f>
        <v>82602.735000000001</v>
      </c>
      <c r="N120" s="3">
        <f>Table3[[#This Row],[Total 
income (Earnings + value - stud fee)]]-Table3[[#This Row],[Maintenance cost ]]</f>
        <v>-31500</v>
      </c>
      <c r="O120" s="3">
        <f>SUM(Table3[[#This Row],[income1]:[income12]])</f>
        <v>-31500</v>
      </c>
      <c r="P120" s="3">
        <f>_xlfn.IFNA(VLOOKUP(Table3[[#This Row],[damId]],Sheet1!$A$2:$Y$970,23, FALSE), VLOOKUP(Table3[[#This Row],[dam]],Sheet1!$B$2:$Y$970,23, FALSE))*Sheet1!$AD$3</f>
        <v>0</v>
      </c>
      <c r="Q120" s="3">
        <f>SUM(Table3[[#This Row],[earningsInRaces1]:[earningsInRaces12]])</f>
        <v>0</v>
      </c>
      <c r="R120" s="3">
        <f>SUM(Table3[[#This Row],[auctionPrice1]:[auctionPrice12]])</f>
        <v>41000</v>
      </c>
      <c r="S120" s="3">
        <f>SUM(Table3[[#This Row],[studFeeUSD1]:[studFeeUSD12]])</f>
        <v>-72500</v>
      </c>
      <c r="T120" s="7">
        <f>COUNT(Table3[[#This Row],[successfulService1]:[successfulService12]])</f>
        <v>5</v>
      </c>
      <c r="U120" s="7">
        <f>SUM(Table3[[#This Row],[successfulService1]:[successfulService12]])</f>
        <v>3</v>
      </c>
      <c r="V120" s="7">
        <f>SUM(Table3[[#This Row],[soldInAuction1]:[soldInAuction12]])</f>
        <v>2</v>
      </c>
      <c r="W120" s="7">
        <f>SUM(Table3[[#This Row],[foreignHorse1]:[foreignHorse12]])</f>
        <v>1</v>
      </c>
      <c r="X120" s="3">
        <v>22500</v>
      </c>
      <c r="Y120" s="3">
        <v>-50000</v>
      </c>
      <c r="Z120" s="3">
        <v>-4000</v>
      </c>
      <c r="AA120" s="3">
        <v>0</v>
      </c>
      <c r="AB120" s="3">
        <v>0</v>
      </c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>
        <v>35000</v>
      </c>
      <c r="AW120" s="3"/>
      <c r="AX120" s="3">
        <v>6000</v>
      </c>
      <c r="AY120" s="3"/>
      <c r="AZ120" s="3"/>
      <c r="BA120" s="3"/>
      <c r="BB120" s="3"/>
      <c r="BC120" s="3"/>
      <c r="BD120" s="3"/>
      <c r="BE120" s="3"/>
      <c r="BF120" s="3"/>
      <c r="BG120" s="3"/>
      <c r="BH120" s="3">
        <v>-12500</v>
      </c>
      <c r="BI120" s="3">
        <v>-50000</v>
      </c>
      <c r="BJ120" s="3">
        <v>-10000</v>
      </c>
      <c r="BK120" s="3"/>
      <c r="BL120" s="3"/>
      <c r="BM120" s="3"/>
      <c r="BN120" s="3"/>
      <c r="BO120" s="3"/>
      <c r="BP120" s="3"/>
      <c r="BQ120" s="3"/>
      <c r="BR120" s="3"/>
      <c r="BS120" s="3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>
        <v>1</v>
      </c>
      <c r="CG120" s="1">
        <v>0</v>
      </c>
      <c r="CH120" s="1">
        <v>1</v>
      </c>
      <c r="CI120" s="1">
        <v>0</v>
      </c>
      <c r="CJ120" s="1">
        <v>1</v>
      </c>
      <c r="CK120" s="1"/>
      <c r="CL120" s="1"/>
      <c r="CM120" s="1"/>
      <c r="CN120" s="1"/>
      <c r="CO120" s="1"/>
      <c r="CP120" s="1"/>
      <c r="CQ120" s="1"/>
      <c r="CR120" s="1">
        <v>1</v>
      </c>
      <c r="CS120" s="1">
        <v>0</v>
      </c>
      <c r="CT120" s="1">
        <v>1</v>
      </c>
      <c r="CU120" s="1">
        <v>0</v>
      </c>
      <c r="CV120" s="1">
        <v>0</v>
      </c>
      <c r="CW120" s="1"/>
      <c r="CX120" s="1"/>
      <c r="CY120" s="1"/>
      <c r="CZ120" s="1"/>
      <c r="DA120" s="1"/>
      <c r="DB120" s="1"/>
      <c r="DC120" s="1"/>
      <c r="DD120" s="1">
        <v>0</v>
      </c>
      <c r="DE120" s="1">
        <v>0</v>
      </c>
      <c r="DF120" s="1">
        <v>0</v>
      </c>
      <c r="DG120" s="1">
        <v>0</v>
      </c>
      <c r="DH120" s="1">
        <v>1</v>
      </c>
      <c r="DI120" s="1"/>
      <c r="DJ120" s="1"/>
      <c r="DK120" s="1"/>
      <c r="DL120" s="1"/>
      <c r="DM120" s="1"/>
      <c r="DN120" s="1"/>
      <c r="DO120" s="1"/>
      <c r="DP120" s="1">
        <v>1</v>
      </c>
      <c r="DQ120" s="1">
        <v>2</v>
      </c>
      <c r="DR120" s="1">
        <v>3</v>
      </c>
      <c r="DS120" s="1">
        <v>4</v>
      </c>
      <c r="DT120" s="1">
        <v>5</v>
      </c>
      <c r="DU120" s="1"/>
      <c r="DV120" s="1"/>
      <c r="DW120" s="1"/>
      <c r="DX120" s="1"/>
      <c r="DY120" s="1"/>
      <c r="DZ120" s="1"/>
      <c r="EA120" s="1"/>
    </row>
    <row r="121" spans="1:131" x14ac:dyDescent="0.3">
      <c r="A121">
        <v>9088288</v>
      </c>
      <c r="B121" s="1" t="s">
        <v>418</v>
      </c>
      <c r="C121" s="1" t="s">
        <v>139</v>
      </c>
      <c r="D121" s="1">
        <v>2017</v>
      </c>
      <c r="E121" s="1">
        <v>1</v>
      </c>
      <c r="F121" s="10">
        <f>Table3[[#This Row],[First season 
with SF]]+Table3[[#This Row],['# Services 
provided]]</f>
        <v>3</v>
      </c>
      <c r="G121" s="26">
        <f>(Table3[[#This Row],[Total Income 
(Race + Price 
sold + Offs - maintenance cost)]]-Table3[[#This Row],[Price 
Bought]])/Table3[[#This Row],[Price 
Bought]]</f>
        <v>2.253373962962963</v>
      </c>
      <c r="H121" s="31">
        <f>Table3[[#This Row],[Race 
earnings]]+Table3[[#This Row],[Price 
Sold]]-Table3[[#This Row],[Maintenance cost]]+Table3[[#This Row],[Total 
profit (Income - cost)]]</f>
        <v>439205.48499999999</v>
      </c>
      <c r="I121" s="3">
        <f>_xlfn.IFNA(VLOOKUP(Table3[[#This Row],[damId]],Sheet1!$A$2:$M$970,5, FALSE), VLOOKUP(Table3[[#This Row],[dam]],Sheet1!$B$2:$M$970,4, FALSE))</f>
        <v>0</v>
      </c>
      <c r="J121" s="3">
        <f>_xlfn.IFNA(VLOOKUP(Table3[[#This Row],[damId]],Sheet1!$A$2:$M$970,13, FALSE), VLOOKUP(Table3[[#This Row],[dam]],Sheet1!$B$2:$M$970,13, FALSE))</f>
        <v>35000</v>
      </c>
      <c r="K121" s="3">
        <f>_xlfn.IFNA(VLOOKUP(Table3[[#This Row],[damId]],Sheet1!$A$2:$M$970,11, FALSE), VLOOKUP(Table3[[#This Row],[dam]],Sheet1!$B$2:$M$970,11, FALSE))</f>
        <v>135000</v>
      </c>
      <c r="L121" s="3">
        <f>_xlfn.IFNA(VLOOKUP(Table3[[#This Row],[damId]],Sheet1!$A$2:$M$970,12, FALSE), VLOOKUP(Table3[[#This Row],[dam]],Sheet1!$B$2:$M$970,12, FALSE))</f>
        <v>170000</v>
      </c>
      <c r="M121" s="3">
        <f>_xlfn.IFNA(VLOOKUP(Table3[[#This Row],[damId]],Sheet1!$A$2:$T$970,20, FALSE), VLOOKUP(Table3[[#This Row],[dam]],Sheet1!$B$2:$T$970,20, FALSE))*Sheet1!$AD$3</f>
        <v>45164.385000000002</v>
      </c>
      <c r="N121" s="3">
        <f>Table3[[#This Row],[Total 
income (Earnings + value - stud fee)]]-Table3[[#This Row],[Maintenance cost ]]</f>
        <v>314369.87</v>
      </c>
      <c r="O121" s="3">
        <f>SUM(Table3[[#This Row],[income1]:[income12]])</f>
        <v>350000</v>
      </c>
      <c r="P121" s="3">
        <f>_xlfn.IFNA(VLOOKUP(Table3[[#This Row],[damId]],Sheet1!$A$2:$Y$970,23, FALSE), VLOOKUP(Table3[[#This Row],[dam]],Sheet1!$B$2:$Y$970,23, FALSE))*Sheet1!$AD$3</f>
        <v>35630.129999999997</v>
      </c>
      <c r="Q121" s="3">
        <f>SUM(Table3[[#This Row],[earningsInRaces1]:[earningsInRaces12]])</f>
        <v>0</v>
      </c>
      <c r="R121" s="3">
        <f>SUM(Table3[[#This Row],[auctionPrice1]:[auctionPrice12]])</f>
        <v>390000</v>
      </c>
      <c r="S121" s="3">
        <f>SUM(Table3[[#This Row],[studFeeUSD1]:[studFeeUSD12]])</f>
        <v>-40000</v>
      </c>
      <c r="T121" s="7">
        <f>COUNT(Table3[[#This Row],[successfulService1]:[successfulService12]])</f>
        <v>2</v>
      </c>
      <c r="U121" s="7">
        <f>SUM(Table3[[#This Row],[successfulService1]:[successfulService12]])</f>
        <v>2</v>
      </c>
      <c r="V121" s="7">
        <f>SUM(Table3[[#This Row],[soldInAuction1]:[soldInAuction12]])</f>
        <v>2</v>
      </c>
      <c r="W121" s="7">
        <f>SUM(Table3[[#This Row],[foreignHorse1]:[foreignHorse12]])</f>
        <v>0</v>
      </c>
      <c r="X121" s="3">
        <v>75000</v>
      </c>
      <c r="Y121" s="3">
        <v>275000</v>
      </c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>
        <v>0</v>
      </c>
      <c r="AK121" s="3">
        <v>0</v>
      </c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>
        <v>90000</v>
      </c>
      <c r="AW121" s="3">
        <v>300000</v>
      </c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>
        <v>-15000</v>
      </c>
      <c r="BI121" s="3">
        <v>-25000</v>
      </c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1">
        <v>0</v>
      </c>
      <c r="BU121" s="1">
        <v>0</v>
      </c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>
        <v>1</v>
      </c>
      <c r="CG121" s="1">
        <v>1</v>
      </c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>
        <v>1</v>
      </c>
      <c r="CS121" s="1">
        <v>1</v>
      </c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>
        <v>0</v>
      </c>
      <c r="DE121" s="1">
        <v>0</v>
      </c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>
        <v>1</v>
      </c>
      <c r="DQ121" s="1">
        <v>2</v>
      </c>
      <c r="DR121" s="1"/>
      <c r="DS121" s="1"/>
      <c r="DT121" s="1"/>
      <c r="DU121" s="1"/>
      <c r="DV121" s="1"/>
      <c r="DW121" s="1"/>
      <c r="DX121" s="1"/>
      <c r="DY121" s="1"/>
      <c r="DZ121" s="1"/>
      <c r="EA121" s="1"/>
    </row>
    <row r="122" spans="1:131" x14ac:dyDescent="0.3">
      <c r="A122">
        <v>9103805</v>
      </c>
      <c r="B122" s="1" t="s">
        <v>424</v>
      </c>
      <c r="C122" s="1" t="s">
        <v>139</v>
      </c>
      <c r="D122" s="1">
        <v>2017</v>
      </c>
      <c r="E122" s="1">
        <v>1</v>
      </c>
      <c r="F122" s="10">
        <f>Table3[[#This Row],[First season 
with SF]]+Table3[[#This Row],['# Services 
provided]]</f>
        <v>10</v>
      </c>
      <c r="G122" s="26">
        <f>(Table3[[#This Row],[Total Income 
(Race + Price 
sold + Offs - maintenance cost)]]-Table3[[#This Row],[Price 
Bought]])/Table3[[#This Row],[Price 
Bought]]</f>
        <v>2.9084255000000003E-2</v>
      </c>
      <c r="H122" s="31">
        <f>Table3[[#This Row],[Race 
earnings]]+Table3[[#This Row],[Price 
Sold]]-Table3[[#This Row],[Maintenance cost]]+Table3[[#This Row],[Total 
profit (Income - cost)]]</f>
        <v>1029084.255</v>
      </c>
      <c r="I122" s="3">
        <f>_xlfn.IFNA(VLOOKUP(Table3[[#This Row],[damId]],Sheet1!$A$2:$M$970,5, FALSE), VLOOKUP(Table3[[#This Row],[dam]],Sheet1!$B$2:$M$970,4, FALSE))</f>
        <v>326100</v>
      </c>
      <c r="J122" s="3">
        <f>_xlfn.IFNA(VLOOKUP(Table3[[#This Row],[damId]],Sheet1!$A$2:$M$970,13, FALSE), VLOOKUP(Table3[[#This Row],[dam]],Sheet1!$B$2:$M$970,13, FALSE))</f>
        <v>-1000000</v>
      </c>
      <c r="K122" s="3">
        <f>_xlfn.IFNA(VLOOKUP(Table3[[#This Row],[damId]],Sheet1!$A$2:$M$970,11, FALSE), VLOOKUP(Table3[[#This Row],[dam]],Sheet1!$B$2:$M$970,11, FALSE))</f>
        <v>1000000</v>
      </c>
      <c r="L122" s="3">
        <f>_xlfn.IFNA(VLOOKUP(Table3[[#This Row],[damId]],Sheet1!$A$2:$M$970,12, FALSE), VLOOKUP(Table3[[#This Row],[dam]],Sheet1!$B$2:$M$970,12, FALSE))</f>
        <v>0</v>
      </c>
      <c r="M122" s="3">
        <f>_xlfn.IFNA(VLOOKUP(Table3[[#This Row],[damId]],Sheet1!$A$2:$T$970,20, FALSE), VLOOKUP(Table3[[#This Row],[dam]],Sheet1!$B$2:$T$970,20, FALSE))*Sheet1!$AD$3</f>
        <v>154479.44999999998</v>
      </c>
      <c r="N122" s="3">
        <f>Table3[[#This Row],[Total 
income (Earnings + value - stud fee)]]-Table3[[#This Row],[Maintenance cost ]]</f>
        <v>857463.70499999996</v>
      </c>
      <c r="O122" s="3">
        <f>SUM(Table3[[#This Row],[income1]:[income12]])</f>
        <v>987450</v>
      </c>
      <c r="P122" s="3">
        <f>_xlfn.IFNA(VLOOKUP(Table3[[#This Row],[damId]],Sheet1!$A$2:$Y$970,23, FALSE), VLOOKUP(Table3[[#This Row],[dam]],Sheet1!$B$2:$Y$970,23, FALSE))*Sheet1!$AD$3</f>
        <v>129986.29500000001</v>
      </c>
      <c r="Q122" s="3">
        <f>SUM(Table3[[#This Row],[earningsInRaces1]:[earningsInRaces12]])</f>
        <v>147450</v>
      </c>
      <c r="R122" s="3">
        <f>SUM(Table3[[#This Row],[auctionPrice1]:[auctionPrice12]])</f>
        <v>2325000</v>
      </c>
      <c r="S122" s="3">
        <f>SUM(Table3[[#This Row],[studFeeUSD1]:[studFeeUSD12]])</f>
        <v>-1485000</v>
      </c>
      <c r="T122" s="7">
        <f>COUNT(Table3[[#This Row],[successfulService1]:[successfulService12]])</f>
        <v>9</v>
      </c>
      <c r="U122" s="7">
        <f>SUM(Table3[[#This Row],[successfulService1]:[successfulService12]])</f>
        <v>6</v>
      </c>
      <c r="V122" s="7">
        <f>SUM(Table3[[#This Row],[soldInAuction1]:[soldInAuction12]])</f>
        <v>5</v>
      </c>
      <c r="W122" s="7">
        <f>SUM(Table3[[#This Row],[foreignHorse1]:[foreignHorse12]])</f>
        <v>0</v>
      </c>
      <c r="X122" s="3">
        <v>-200000</v>
      </c>
      <c r="Y122" s="3">
        <v>475000</v>
      </c>
      <c r="Z122" s="3">
        <v>47450</v>
      </c>
      <c r="AA122" s="3">
        <v>-300000</v>
      </c>
      <c r="AB122" s="3">
        <v>425000</v>
      </c>
      <c r="AC122" s="3">
        <v>160000</v>
      </c>
      <c r="AD122" s="3">
        <v>265000</v>
      </c>
      <c r="AE122" s="3">
        <v>225000</v>
      </c>
      <c r="AF122" s="3">
        <v>-110000</v>
      </c>
      <c r="AG122" s="3"/>
      <c r="AH122" s="3"/>
      <c r="AI122" s="3"/>
      <c r="AJ122" s="3"/>
      <c r="AK122" s="3">
        <v>0</v>
      </c>
      <c r="AL122" s="3">
        <v>147450</v>
      </c>
      <c r="AM122" s="3"/>
      <c r="AN122" s="3">
        <v>0</v>
      </c>
      <c r="AO122" s="3"/>
      <c r="AP122" s="3"/>
      <c r="AQ122" s="3"/>
      <c r="AR122" s="3"/>
      <c r="AS122" s="3"/>
      <c r="AT122" s="3"/>
      <c r="AU122" s="3"/>
      <c r="AV122" s="3"/>
      <c r="AW122" s="3">
        <v>575000</v>
      </c>
      <c r="AX122" s="3"/>
      <c r="AY122" s="3"/>
      <c r="AZ122" s="3">
        <v>675000</v>
      </c>
      <c r="BA122" s="3">
        <v>200000</v>
      </c>
      <c r="BB122" s="3">
        <v>450000</v>
      </c>
      <c r="BC122" s="3">
        <v>425000</v>
      </c>
      <c r="BD122" s="3"/>
      <c r="BE122" s="3"/>
      <c r="BF122" s="3"/>
      <c r="BG122" s="3"/>
      <c r="BH122" s="3">
        <v>-200000</v>
      </c>
      <c r="BI122" s="3">
        <v>-100000</v>
      </c>
      <c r="BJ122" s="3">
        <v>-100000</v>
      </c>
      <c r="BK122" s="3">
        <v>-300000</v>
      </c>
      <c r="BL122" s="3">
        <v>-250000</v>
      </c>
      <c r="BM122" s="3">
        <v>-40000</v>
      </c>
      <c r="BN122" s="3">
        <v>-185000</v>
      </c>
      <c r="BO122" s="3">
        <v>-200000</v>
      </c>
      <c r="BP122" s="3">
        <v>-110000</v>
      </c>
      <c r="BQ122" s="3"/>
      <c r="BR122" s="3"/>
      <c r="BS122" s="3"/>
      <c r="BT122" s="1"/>
      <c r="BU122" s="1">
        <v>0</v>
      </c>
      <c r="BV122" s="1">
        <v>1</v>
      </c>
      <c r="BW122" s="1"/>
      <c r="BX122" s="1">
        <v>0</v>
      </c>
      <c r="BY122" s="1"/>
      <c r="BZ122" s="1"/>
      <c r="CA122" s="1"/>
      <c r="CB122" s="1"/>
      <c r="CC122" s="1"/>
      <c r="CD122" s="1"/>
      <c r="CE122" s="1"/>
      <c r="CF122" s="1">
        <v>0</v>
      </c>
      <c r="CG122" s="1">
        <v>1</v>
      </c>
      <c r="CH122" s="1">
        <v>1</v>
      </c>
      <c r="CI122" s="1">
        <v>0</v>
      </c>
      <c r="CJ122" s="1">
        <v>1</v>
      </c>
      <c r="CK122" s="1">
        <v>1</v>
      </c>
      <c r="CL122" s="1">
        <v>1</v>
      </c>
      <c r="CM122" s="1">
        <v>1</v>
      </c>
      <c r="CN122" s="1">
        <v>0</v>
      </c>
      <c r="CO122" s="1"/>
      <c r="CP122" s="1"/>
      <c r="CQ122" s="1"/>
      <c r="CR122" s="1">
        <v>0</v>
      </c>
      <c r="CS122" s="1">
        <v>1</v>
      </c>
      <c r="CT122" s="1">
        <v>0</v>
      </c>
      <c r="CU122" s="1">
        <v>0</v>
      </c>
      <c r="CV122" s="1">
        <v>1</v>
      </c>
      <c r="CW122" s="1">
        <v>1</v>
      </c>
      <c r="CX122" s="1">
        <v>1</v>
      </c>
      <c r="CY122" s="1">
        <v>1</v>
      </c>
      <c r="CZ122" s="1">
        <v>0</v>
      </c>
      <c r="DA122" s="1"/>
      <c r="DB122" s="1"/>
      <c r="DC122" s="1"/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/>
      <c r="DN122" s="1"/>
      <c r="DO122" s="1"/>
      <c r="DP122" s="1">
        <v>1</v>
      </c>
      <c r="DQ122" s="1">
        <v>2</v>
      </c>
      <c r="DR122" s="1">
        <v>3</v>
      </c>
      <c r="DS122" s="1">
        <v>4</v>
      </c>
      <c r="DT122" s="1">
        <v>5</v>
      </c>
      <c r="DU122" s="1">
        <v>6</v>
      </c>
      <c r="DV122" s="1">
        <v>7</v>
      </c>
      <c r="DW122" s="1">
        <v>8</v>
      </c>
      <c r="DX122" s="1">
        <v>9</v>
      </c>
      <c r="DY122" s="1"/>
      <c r="DZ122" s="1"/>
      <c r="EA122" s="1"/>
    </row>
    <row r="123" spans="1:131" x14ac:dyDescent="0.3">
      <c r="A123">
        <v>9130656</v>
      </c>
      <c r="B123" s="1" t="s">
        <v>441</v>
      </c>
      <c r="C123" s="1" t="s">
        <v>24</v>
      </c>
      <c r="D123" s="1">
        <v>2017</v>
      </c>
      <c r="E123" s="1">
        <v>1</v>
      </c>
      <c r="F123" s="10">
        <f>Table3[[#This Row],[First season 
with SF]]+Table3[[#This Row],['# Services 
provided]]</f>
        <v>8</v>
      </c>
      <c r="G123" s="26">
        <f>(Table3[[#This Row],[Total Income 
(Race + Price 
sold + Offs - maintenance cost)]]-Table3[[#This Row],[Price 
Bought]])/Table3[[#This Row],[Price 
Bought]]</f>
        <v>-0.96181284444444437</v>
      </c>
      <c r="H123" s="31">
        <f>Table3[[#This Row],[Race 
earnings]]+Table3[[#This Row],[Price 
Sold]]-Table3[[#This Row],[Maintenance cost]]+Table3[[#This Row],[Total 
profit (Income - cost)]]</f>
        <v>17184.220000000016</v>
      </c>
      <c r="I123" s="3">
        <f>_xlfn.IFNA(VLOOKUP(Table3[[#This Row],[damId]],Sheet1!$A$2:$M$970,5, FALSE), VLOOKUP(Table3[[#This Row],[dam]],Sheet1!$B$2:$M$970,4, FALSE))</f>
        <v>0</v>
      </c>
      <c r="J123" s="3">
        <f>_xlfn.IFNA(VLOOKUP(Table3[[#This Row],[damId]],Sheet1!$A$2:$M$970,13, FALSE), VLOOKUP(Table3[[#This Row],[dam]],Sheet1!$B$2:$M$970,13, FALSE))</f>
        <v>-450000</v>
      </c>
      <c r="K123" s="3">
        <f>_xlfn.IFNA(VLOOKUP(Table3[[#This Row],[damId]],Sheet1!$A$2:$M$970,11, FALSE), VLOOKUP(Table3[[#This Row],[dam]],Sheet1!$B$2:$M$970,11, FALSE))</f>
        <v>450000</v>
      </c>
      <c r="L123" s="3">
        <f>_xlfn.IFNA(VLOOKUP(Table3[[#This Row],[damId]],Sheet1!$A$2:$M$970,12, FALSE), VLOOKUP(Table3[[#This Row],[dam]],Sheet1!$B$2:$M$970,12, FALSE))</f>
        <v>0</v>
      </c>
      <c r="M123" s="3">
        <f>_xlfn.IFNA(VLOOKUP(Table3[[#This Row],[damId]],Sheet1!$A$2:$T$970,20, FALSE), VLOOKUP(Table3[[#This Row],[dam]],Sheet1!$B$2:$T$970,20, FALSE))*Sheet1!$AD$3</f>
        <v>124191.77999999998</v>
      </c>
      <c r="N123" s="3">
        <f>Table3[[#This Row],[Total 
income (Earnings + value - stud fee)]]-Table3[[#This Row],[Maintenance cost ]]</f>
        <v>141376</v>
      </c>
      <c r="O123" s="3">
        <f>SUM(Table3[[#This Row],[income1]:[income12]])</f>
        <v>141376</v>
      </c>
      <c r="P123" s="3">
        <f>_xlfn.IFNA(VLOOKUP(Table3[[#This Row],[damId]],Sheet1!$A$2:$Y$970,23, FALSE), VLOOKUP(Table3[[#This Row],[dam]],Sheet1!$B$2:$Y$970,23, FALSE))*Sheet1!$AD$3</f>
        <v>0</v>
      </c>
      <c r="Q123" s="3">
        <f>SUM(Table3[[#This Row],[earningsInRaces1]:[earningsInRaces12]])</f>
        <v>0</v>
      </c>
      <c r="R123" s="3">
        <f>SUM(Table3[[#This Row],[auctionPrice1]:[auctionPrice12]])</f>
        <v>141376</v>
      </c>
      <c r="S123" s="3">
        <f>SUM(Table3[[#This Row],[studFeeUSD1]:[studFeeUSD12]])</f>
        <v>0</v>
      </c>
      <c r="T123" s="7">
        <f>COUNT(Table3[[#This Row],[successfulService1]:[successfulService12]])</f>
        <v>7</v>
      </c>
      <c r="U123" s="7">
        <f>SUM(Table3[[#This Row],[successfulService1]:[successfulService12]])</f>
        <v>5</v>
      </c>
      <c r="V123" s="7">
        <f>SUM(Table3[[#This Row],[soldInAuction1]:[soldInAuction12]])</f>
        <v>3</v>
      </c>
      <c r="W123" s="7">
        <f>SUM(Table3[[#This Row],[foreignHorse1]:[foreignHorse12]])</f>
        <v>2</v>
      </c>
      <c r="X123" s="3">
        <v>0</v>
      </c>
      <c r="Y123" s="3">
        <v>20599</v>
      </c>
      <c r="Z123" s="3">
        <v>0</v>
      </c>
      <c r="AA123" s="3">
        <v>0</v>
      </c>
      <c r="AB123" s="3">
        <v>34612</v>
      </c>
      <c r="AC123" s="3">
        <v>0</v>
      </c>
      <c r="AD123" s="3">
        <v>86165</v>
      </c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>
        <v>20599</v>
      </c>
      <c r="AX123" s="3"/>
      <c r="AY123" s="3"/>
      <c r="AZ123" s="3">
        <v>34612</v>
      </c>
      <c r="BA123" s="3"/>
      <c r="BB123" s="3">
        <v>86165</v>
      </c>
      <c r="BC123" s="3"/>
      <c r="BD123" s="3"/>
      <c r="BE123" s="3"/>
      <c r="BF123" s="3"/>
      <c r="BG123" s="3"/>
      <c r="BH123" s="3">
        <v>0</v>
      </c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>
        <v>1</v>
      </c>
      <c r="CG123" s="1">
        <v>1</v>
      </c>
      <c r="CH123" s="1">
        <v>0</v>
      </c>
      <c r="CI123" s="1">
        <v>0</v>
      </c>
      <c r="CJ123" s="1">
        <v>1</v>
      </c>
      <c r="CK123" s="1">
        <v>1</v>
      </c>
      <c r="CL123" s="1">
        <v>1</v>
      </c>
      <c r="CM123" s="1"/>
      <c r="CN123" s="1"/>
      <c r="CO123" s="1"/>
      <c r="CP123" s="1"/>
      <c r="CQ123" s="1"/>
      <c r="CR123" s="1">
        <v>0</v>
      </c>
      <c r="CS123" s="1">
        <v>1</v>
      </c>
      <c r="CT123" s="1">
        <v>0</v>
      </c>
      <c r="CU123" s="1">
        <v>0</v>
      </c>
      <c r="CV123" s="1">
        <v>1</v>
      </c>
      <c r="CW123" s="1">
        <v>0</v>
      </c>
      <c r="CX123" s="1">
        <v>1</v>
      </c>
      <c r="CY123" s="1"/>
      <c r="CZ123" s="1"/>
      <c r="DA123" s="1"/>
      <c r="DB123" s="1"/>
      <c r="DC123" s="1"/>
      <c r="DD123" s="1">
        <v>0</v>
      </c>
      <c r="DE123" s="1">
        <v>1</v>
      </c>
      <c r="DF123" s="1">
        <v>0</v>
      </c>
      <c r="DG123" s="1">
        <v>0</v>
      </c>
      <c r="DH123" s="1">
        <v>1</v>
      </c>
      <c r="DI123" s="1">
        <v>0</v>
      </c>
      <c r="DJ123" s="1">
        <v>0</v>
      </c>
      <c r="DK123" s="1"/>
      <c r="DL123" s="1"/>
      <c r="DM123" s="1"/>
      <c r="DN123" s="1"/>
      <c r="DO123" s="1"/>
      <c r="DP123" s="1">
        <v>1</v>
      </c>
      <c r="DQ123" s="1">
        <v>2</v>
      </c>
      <c r="DR123" s="1">
        <v>3</v>
      </c>
      <c r="DS123" s="1">
        <v>4</v>
      </c>
      <c r="DT123" s="1">
        <v>5</v>
      </c>
      <c r="DU123" s="1">
        <v>6</v>
      </c>
      <c r="DV123" s="1">
        <v>7</v>
      </c>
      <c r="DW123" s="1"/>
      <c r="DX123" s="1"/>
      <c r="DY123" s="1"/>
      <c r="DZ123" s="1"/>
      <c r="EA123" s="1"/>
    </row>
    <row r="124" spans="1:131" x14ac:dyDescent="0.3">
      <c r="A124">
        <v>9169983</v>
      </c>
      <c r="B124" s="1" t="s">
        <v>455</v>
      </c>
      <c r="C124" s="1" t="s">
        <v>139</v>
      </c>
      <c r="D124" s="1">
        <v>2017</v>
      </c>
      <c r="E124" s="1">
        <v>1</v>
      </c>
      <c r="F124" s="10">
        <f>Table3[[#This Row],[First season 
with SF]]+Table3[[#This Row],['# Services 
provided]]</f>
        <v>8</v>
      </c>
      <c r="G124" s="26">
        <f>(Table3[[#This Row],[Total Income 
(Race + Price 
sold + Offs - maintenance cost)]]-Table3[[#This Row],[Price 
Bought]])/Table3[[#This Row],[Price 
Bought]]</f>
        <v>2.8147465700000005</v>
      </c>
      <c r="H124" s="31">
        <f>Table3[[#This Row],[Race 
earnings]]+Table3[[#This Row],[Price 
Sold]]-Table3[[#This Row],[Maintenance cost]]+Table3[[#This Row],[Total 
profit (Income - cost)]]</f>
        <v>1144423.9710000001</v>
      </c>
      <c r="I124" s="3">
        <f>_xlfn.IFNA(VLOOKUP(Table3[[#This Row],[damId]],Sheet1!$A$2:$M$970,5, FALSE), VLOOKUP(Table3[[#This Row],[dam]],Sheet1!$B$2:$M$970,4, FALSE))</f>
        <v>0</v>
      </c>
      <c r="J124" s="3">
        <f>_xlfn.IFNA(VLOOKUP(Table3[[#This Row],[damId]],Sheet1!$A$2:$M$970,13, FALSE), VLOOKUP(Table3[[#This Row],[dam]],Sheet1!$B$2:$M$970,13, FALSE))</f>
        <v>-300000</v>
      </c>
      <c r="K124" s="3">
        <f>_xlfn.IFNA(VLOOKUP(Table3[[#This Row],[damId]],Sheet1!$A$2:$M$970,11, FALSE), VLOOKUP(Table3[[#This Row],[dam]],Sheet1!$B$2:$M$970,11, FALSE))</f>
        <v>300000</v>
      </c>
      <c r="L124" s="3">
        <f>_xlfn.IFNA(VLOOKUP(Table3[[#This Row],[damId]],Sheet1!$A$2:$M$970,12, FALSE), VLOOKUP(Table3[[#This Row],[dam]],Sheet1!$B$2:$M$970,12, FALSE))</f>
        <v>0</v>
      </c>
      <c r="M124" s="3">
        <f>_xlfn.IFNA(VLOOKUP(Table3[[#This Row],[damId]],Sheet1!$A$2:$T$970,20, FALSE), VLOOKUP(Table3[[#This Row],[dam]],Sheet1!$B$2:$T$970,20, FALSE))*Sheet1!$AD$3</f>
        <v>139520.55000000002</v>
      </c>
      <c r="N124" s="3">
        <f>Table3[[#This Row],[Total 
income (Earnings + value - stud fee)]]-Table3[[#This Row],[Maintenance cost ]]</f>
        <v>1283944.5210000002</v>
      </c>
      <c r="O124" s="3">
        <f>SUM(Table3[[#This Row],[income1]:[income12]])</f>
        <v>1295245.8900000001</v>
      </c>
      <c r="P124" s="3">
        <f>_xlfn.IFNA(VLOOKUP(Table3[[#This Row],[damId]],Sheet1!$A$2:$Y$970,23, FALSE), VLOOKUP(Table3[[#This Row],[dam]],Sheet1!$B$2:$Y$970,23, FALSE))*Sheet1!$AD$3</f>
        <v>11301.369000000001</v>
      </c>
      <c r="Q124" s="3">
        <f>SUM(Table3[[#This Row],[earningsInRaces1]:[earningsInRaces12]])</f>
        <v>0</v>
      </c>
      <c r="R124" s="3">
        <f>SUM(Table3[[#This Row],[auctionPrice1]:[auctionPrice12]])</f>
        <v>1361357</v>
      </c>
      <c r="S124" s="3">
        <f>SUM(Table3[[#This Row],[studFeeUSD1]:[studFeeUSD12]])</f>
        <v>-66111.11</v>
      </c>
      <c r="T124" s="7">
        <f>COUNT(Table3[[#This Row],[successfulService1]:[successfulService12]])</f>
        <v>7</v>
      </c>
      <c r="U124" s="7">
        <f>SUM(Table3[[#This Row],[successfulService1]:[successfulService12]])</f>
        <v>6</v>
      </c>
      <c r="V124" s="7">
        <f>SUM(Table3[[#This Row],[soldInAuction1]:[soldInAuction12]])</f>
        <v>5</v>
      </c>
      <c r="W124" s="7">
        <f>SUM(Table3[[#This Row],[foreignHorse1]:[foreignHorse12]])</f>
        <v>3</v>
      </c>
      <c r="X124" s="3">
        <v>125000</v>
      </c>
      <c r="Y124" s="3">
        <v>291814</v>
      </c>
      <c r="Z124" s="3">
        <v>116013</v>
      </c>
      <c r="AA124" s="3">
        <v>-41111.11</v>
      </c>
      <c r="AB124" s="3">
        <v>592994</v>
      </c>
      <c r="AC124" s="3">
        <v>210536</v>
      </c>
      <c r="AD124" s="3">
        <v>0</v>
      </c>
      <c r="AE124" s="3"/>
      <c r="AF124" s="3"/>
      <c r="AG124" s="3"/>
      <c r="AH124" s="3"/>
      <c r="AI124" s="3"/>
      <c r="AJ124" s="3">
        <v>0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>
        <v>150000</v>
      </c>
      <c r="AW124" s="3">
        <v>291814</v>
      </c>
      <c r="AX124" s="3">
        <v>116013</v>
      </c>
      <c r="AY124" s="3"/>
      <c r="AZ124" s="3">
        <v>592994</v>
      </c>
      <c r="BA124" s="3">
        <v>210536</v>
      </c>
      <c r="BB124" s="3"/>
      <c r="BC124" s="3"/>
      <c r="BD124" s="3"/>
      <c r="BE124" s="3"/>
      <c r="BF124" s="3"/>
      <c r="BG124" s="3"/>
      <c r="BH124" s="3">
        <v>-25000</v>
      </c>
      <c r="BI124" s="3"/>
      <c r="BJ124" s="3"/>
      <c r="BK124" s="3">
        <v>-41111.11</v>
      </c>
      <c r="BL124" s="3"/>
      <c r="BM124" s="3"/>
      <c r="BN124" s="3"/>
      <c r="BO124" s="3"/>
      <c r="BP124" s="3"/>
      <c r="BQ124" s="3"/>
      <c r="BR124" s="3"/>
      <c r="BS124" s="3"/>
      <c r="BT124" s="1">
        <v>0</v>
      </c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>
        <v>1</v>
      </c>
      <c r="CG124" s="1">
        <v>1</v>
      </c>
      <c r="CH124" s="1">
        <v>1</v>
      </c>
      <c r="CI124" s="1">
        <v>0</v>
      </c>
      <c r="CJ124" s="1">
        <v>1</v>
      </c>
      <c r="CK124" s="1">
        <v>1</v>
      </c>
      <c r="CL124" s="1">
        <v>1</v>
      </c>
      <c r="CM124" s="1"/>
      <c r="CN124" s="1"/>
      <c r="CO124" s="1"/>
      <c r="CP124" s="1"/>
      <c r="CQ124" s="1"/>
      <c r="CR124" s="1">
        <v>1</v>
      </c>
      <c r="CS124" s="1">
        <v>1</v>
      </c>
      <c r="CT124" s="1">
        <v>1</v>
      </c>
      <c r="CU124" s="1">
        <v>0</v>
      </c>
      <c r="CV124" s="1">
        <v>1</v>
      </c>
      <c r="CW124" s="1">
        <v>1</v>
      </c>
      <c r="CX124" s="1">
        <v>0</v>
      </c>
      <c r="CY124" s="1"/>
      <c r="CZ124" s="1"/>
      <c r="DA124" s="1"/>
      <c r="DB124" s="1"/>
      <c r="DC124" s="1"/>
      <c r="DD124" s="1">
        <v>0</v>
      </c>
      <c r="DE124" s="1">
        <v>1</v>
      </c>
      <c r="DF124" s="1">
        <v>1</v>
      </c>
      <c r="DG124" s="1">
        <v>0</v>
      </c>
      <c r="DH124" s="1">
        <v>1</v>
      </c>
      <c r="DI124" s="1">
        <v>0</v>
      </c>
      <c r="DJ124" s="1">
        <v>0</v>
      </c>
      <c r="DK124" s="1"/>
      <c r="DL124" s="1"/>
      <c r="DM124" s="1"/>
      <c r="DN124" s="1"/>
      <c r="DO124" s="1"/>
      <c r="DP124" s="1">
        <v>1</v>
      </c>
      <c r="DQ124" s="1">
        <v>2</v>
      </c>
      <c r="DR124" s="1">
        <v>3</v>
      </c>
      <c r="DS124" s="1">
        <v>4</v>
      </c>
      <c r="DT124" s="1">
        <v>5</v>
      </c>
      <c r="DU124" s="1">
        <v>6</v>
      </c>
      <c r="DV124" s="1">
        <v>7</v>
      </c>
      <c r="DW124" s="1"/>
      <c r="DX124" s="1"/>
      <c r="DY124" s="1"/>
      <c r="DZ124" s="1"/>
      <c r="EA124" s="1"/>
    </row>
    <row r="125" spans="1:131" x14ac:dyDescent="0.3">
      <c r="A125">
        <v>9214747</v>
      </c>
      <c r="B125" s="1" t="s">
        <v>457</v>
      </c>
      <c r="C125" s="1" t="s">
        <v>24</v>
      </c>
      <c r="D125" s="1">
        <v>2017</v>
      </c>
      <c r="E125" s="1">
        <v>2</v>
      </c>
      <c r="F125" s="10">
        <f>Table3[[#This Row],[First season 
with SF]]+Table3[[#This Row],['# Services 
provided]]</f>
        <v>9</v>
      </c>
      <c r="G125" s="26">
        <f>(Table3[[#This Row],[Total Income 
(Race + Price 
sold + Offs - maintenance cost)]]-Table3[[#This Row],[Price 
Bought]])/Table3[[#This Row],[Price 
Bought]]</f>
        <v>0.3869674263333337</v>
      </c>
      <c r="H125" s="31">
        <f>Table3[[#This Row],[Race 
earnings]]+Table3[[#This Row],[Price 
Sold]]-Table3[[#This Row],[Maintenance cost]]+Table3[[#This Row],[Total 
profit (Income - cost)]]</f>
        <v>2080451.1395000005</v>
      </c>
      <c r="I125" s="3">
        <f>_xlfn.IFNA(VLOOKUP(Table3[[#This Row],[damId]],Sheet1!$A$2:$M$970,5, FALSE), VLOOKUP(Table3[[#This Row],[dam]],Sheet1!$B$2:$M$970,4, FALSE))</f>
        <v>0</v>
      </c>
      <c r="J125" s="3">
        <f>_xlfn.IFNA(VLOOKUP(Table3[[#This Row],[damId]],Sheet1!$A$2:$M$970,13, FALSE), VLOOKUP(Table3[[#This Row],[dam]],Sheet1!$B$2:$M$970,13, FALSE))</f>
        <v>-1500000</v>
      </c>
      <c r="K125" s="3">
        <f>_xlfn.IFNA(VLOOKUP(Table3[[#This Row],[damId]],Sheet1!$A$2:$M$970,11, FALSE), VLOOKUP(Table3[[#This Row],[dam]],Sheet1!$B$2:$M$970,11, FALSE))</f>
        <v>1500000</v>
      </c>
      <c r="L125" s="3">
        <f>_xlfn.IFNA(VLOOKUP(Table3[[#This Row],[damId]],Sheet1!$A$2:$M$970,12, FALSE), VLOOKUP(Table3[[#This Row],[dam]],Sheet1!$B$2:$M$970,12, FALSE))</f>
        <v>0</v>
      </c>
      <c r="M125" s="3">
        <f>_xlfn.IFNA(VLOOKUP(Table3[[#This Row],[damId]],Sheet1!$A$2:$T$970,20, FALSE), VLOOKUP(Table3[[#This Row],[dam]],Sheet1!$B$2:$T$970,20, FALSE))*Sheet1!$AD$3</f>
        <v>124232.88</v>
      </c>
      <c r="N125" s="3">
        <f>Table3[[#This Row],[Total 
income (Earnings + value - stud fee)]]-Table3[[#This Row],[Maintenance cost ]]</f>
        <v>2204684.0195000004</v>
      </c>
      <c r="O125" s="3">
        <f>SUM(Table3[[#This Row],[income1]:[income12]])</f>
        <v>2212081.2800000003</v>
      </c>
      <c r="P125" s="3">
        <f>_xlfn.IFNA(VLOOKUP(Table3[[#This Row],[damId]],Sheet1!$A$2:$Y$970,23, FALSE), VLOOKUP(Table3[[#This Row],[dam]],Sheet1!$B$2:$Y$970,23, FALSE))*Sheet1!$AD$3</f>
        <v>7397.2605000000003</v>
      </c>
      <c r="Q125" s="3">
        <f>SUM(Table3[[#This Row],[earningsInRaces1]:[earningsInRaces12]])</f>
        <v>0</v>
      </c>
      <c r="R125" s="3">
        <f>SUM(Table3[[#This Row],[auctionPrice1]:[auctionPrice12]])</f>
        <v>2247570</v>
      </c>
      <c r="S125" s="3">
        <f>SUM(Table3[[#This Row],[studFeeUSD1]:[studFeeUSD12]])</f>
        <v>-35488.720000000001</v>
      </c>
      <c r="T125" s="7">
        <f>COUNT(Table3[[#This Row],[successfulService1]:[successfulService12]])</f>
        <v>7</v>
      </c>
      <c r="U125" s="7">
        <f>SUM(Table3[[#This Row],[successfulService1]:[successfulService12]])</f>
        <v>4</v>
      </c>
      <c r="V125" s="7">
        <f>SUM(Table3[[#This Row],[soldInAuction1]:[soldInAuction12]])</f>
        <v>4</v>
      </c>
      <c r="W125" s="7">
        <f>SUM(Table3[[#This Row],[foreignHorse1]:[foreignHorse12]])</f>
        <v>2</v>
      </c>
      <c r="X125" s="3">
        <v>775000</v>
      </c>
      <c r="Y125" s="3">
        <v>0</v>
      </c>
      <c r="Z125" s="3">
        <v>328704</v>
      </c>
      <c r="AA125" s="3">
        <v>0</v>
      </c>
      <c r="AB125" s="3">
        <v>864129</v>
      </c>
      <c r="AC125" s="3">
        <v>-35488.720000000001</v>
      </c>
      <c r="AD125" s="3">
        <v>279737</v>
      </c>
      <c r="AE125" s="3"/>
      <c r="AF125" s="3"/>
      <c r="AG125" s="3"/>
      <c r="AH125" s="3"/>
      <c r="AI125" s="3"/>
      <c r="AJ125" s="3">
        <v>0</v>
      </c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>
        <v>775000</v>
      </c>
      <c r="AW125" s="3"/>
      <c r="AX125" s="3">
        <v>328704</v>
      </c>
      <c r="AY125" s="3"/>
      <c r="AZ125" s="3">
        <v>864129</v>
      </c>
      <c r="BA125" s="3"/>
      <c r="BB125" s="3">
        <v>279737</v>
      </c>
      <c r="BC125" s="3"/>
      <c r="BD125" s="3"/>
      <c r="BE125" s="3"/>
      <c r="BF125" s="3"/>
      <c r="BG125" s="3"/>
      <c r="BH125" s="3">
        <v>0</v>
      </c>
      <c r="BI125" s="3"/>
      <c r="BJ125" s="3"/>
      <c r="BK125" s="3"/>
      <c r="BL125" s="3"/>
      <c r="BM125" s="3">
        <v>-35488.720000000001</v>
      </c>
      <c r="BN125" s="3"/>
      <c r="BO125" s="3"/>
      <c r="BP125" s="3"/>
      <c r="BQ125" s="3"/>
      <c r="BR125" s="3"/>
      <c r="BS125" s="3"/>
      <c r="BT125" s="1">
        <v>0</v>
      </c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>
        <v>1</v>
      </c>
      <c r="CG125" s="1">
        <v>0</v>
      </c>
      <c r="CH125" s="1">
        <v>1</v>
      </c>
      <c r="CI125" s="1">
        <v>0</v>
      </c>
      <c r="CJ125" s="1">
        <v>1</v>
      </c>
      <c r="CK125" s="1">
        <v>0</v>
      </c>
      <c r="CL125" s="1">
        <v>1</v>
      </c>
      <c r="CM125" s="1"/>
      <c r="CN125" s="1"/>
      <c r="CO125" s="1"/>
      <c r="CP125" s="1"/>
      <c r="CQ125" s="1"/>
      <c r="CR125" s="1">
        <v>1</v>
      </c>
      <c r="CS125" s="1">
        <v>0</v>
      </c>
      <c r="CT125" s="1">
        <v>1</v>
      </c>
      <c r="CU125" s="1">
        <v>0</v>
      </c>
      <c r="CV125" s="1">
        <v>1</v>
      </c>
      <c r="CW125" s="1">
        <v>0</v>
      </c>
      <c r="CX125" s="1">
        <v>1</v>
      </c>
      <c r="CY125" s="1"/>
      <c r="CZ125" s="1"/>
      <c r="DA125" s="1"/>
      <c r="DB125" s="1"/>
      <c r="DC125" s="1"/>
      <c r="DD125" s="1">
        <v>0</v>
      </c>
      <c r="DE125" s="1">
        <v>0</v>
      </c>
      <c r="DF125" s="1">
        <v>1</v>
      </c>
      <c r="DG125" s="1">
        <v>0</v>
      </c>
      <c r="DH125" s="1">
        <v>1</v>
      </c>
      <c r="DI125" s="1">
        <v>0</v>
      </c>
      <c r="DJ125" s="1">
        <v>0</v>
      </c>
      <c r="DK125" s="1"/>
      <c r="DL125" s="1"/>
      <c r="DM125" s="1"/>
      <c r="DN125" s="1"/>
      <c r="DO125" s="1"/>
      <c r="DP125" s="1">
        <v>2</v>
      </c>
      <c r="DQ125" s="1">
        <v>3</v>
      </c>
      <c r="DR125" s="1">
        <v>4</v>
      </c>
      <c r="DS125" s="1">
        <v>5</v>
      </c>
      <c r="DT125" s="1">
        <v>6</v>
      </c>
      <c r="DU125" s="1">
        <v>7</v>
      </c>
      <c r="DV125" s="1">
        <v>8</v>
      </c>
      <c r="DW125" s="1"/>
      <c r="DX125" s="1"/>
      <c r="DY125" s="1"/>
      <c r="DZ125" s="1"/>
      <c r="EA125" s="1"/>
    </row>
    <row r="126" spans="1:131" x14ac:dyDescent="0.3">
      <c r="A126">
        <v>9358819</v>
      </c>
      <c r="B126" s="1" t="s">
        <v>533</v>
      </c>
      <c r="C126" s="1" t="s">
        <v>139</v>
      </c>
      <c r="D126" s="1">
        <v>2017</v>
      </c>
      <c r="E126" s="1">
        <v>1</v>
      </c>
      <c r="F126" s="10">
        <f>Table3[[#This Row],[First season 
with SF]]+Table3[[#This Row],['# Services 
provided]]</f>
        <v>3</v>
      </c>
      <c r="G126" s="26">
        <f>(Table3[[#This Row],[Total Income 
(Race + Price 
sold + Offs - maintenance cost)]]-Table3[[#This Row],[Price 
Bought]])/Table3[[#This Row],[Price 
Bought]]</f>
        <v>-5.7767125000000004</v>
      </c>
      <c r="H126" s="31">
        <f>Table3[[#This Row],[Race 
earnings]]+Table3[[#This Row],[Price 
Sold]]-Table3[[#This Row],[Maintenance cost]]+Table3[[#This Row],[Total 
profit (Income - cost)]]</f>
        <v>-143301.375</v>
      </c>
      <c r="I126" s="3">
        <f>_xlfn.IFNA(VLOOKUP(Table3[[#This Row],[damId]],Sheet1!$A$2:$M$970,5, FALSE), VLOOKUP(Table3[[#This Row],[dam]],Sheet1!$B$2:$M$970,4, FALSE))</f>
        <v>0</v>
      </c>
      <c r="J126" s="3">
        <f>_xlfn.IFNA(VLOOKUP(Table3[[#This Row],[damId]],Sheet1!$A$2:$M$970,13, FALSE), VLOOKUP(Table3[[#This Row],[dam]],Sheet1!$B$2:$M$970,13, FALSE))</f>
        <v>-22000</v>
      </c>
      <c r="K126" s="3">
        <f>_xlfn.IFNA(VLOOKUP(Table3[[#This Row],[damId]],Sheet1!$A$2:$M$970,11, FALSE), VLOOKUP(Table3[[#This Row],[dam]],Sheet1!$B$2:$M$970,11, FALSE))</f>
        <v>30000</v>
      </c>
      <c r="L126" s="3">
        <f>_xlfn.IFNA(VLOOKUP(Table3[[#This Row],[damId]],Sheet1!$A$2:$M$970,12, FALSE), VLOOKUP(Table3[[#This Row],[dam]],Sheet1!$B$2:$M$970,12, FALSE))</f>
        <v>8000</v>
      </c>
      <c r="M126" s="3">
        <f>_xlfn.IFNA(VLOOKUP(Table3[[#This Row],[damId]],Sheet1!$A$2:$T$970,20, FALSE), VLOOKUP(Table3[[#This Row],[dam]],Sheet1!$B$2:$T$970,20, FALSE))*Sheet1!$AD$3</f>
        <v>41301.375</v>
      </c>
      <c r="N126" s="3">
        <f>Table3[[#This Row],[Total 
income (Earnings + value - stud fee)]]-Table3[[#This Row],[Maintenance cost ]]</f>
        <v>-110000</v>
      </c>
      <c r="O126" s="3">
        <f>SUM(Table3[[#This Row],[income1]:[income12]])</f>
        <v>-110000</v>
      </c>
      <c r="P126" s="3">
        <f>_xlfn.IFNA(VLOOKUP(Table3[[#This Row],[damId]],Sheet1!$A$2:$Y$970,23, FALSE), VLOOKUP(Table3[[#This Row],[dam]],Sheet1!$B$2:$Y$970,23, FALSE))*Sheet1!$AD$3</f>
        <v>0</v>
      </c>
      <c r="Q126" s="3">
        <f>SUM(Table3[[#This Row],[earningsInRaces1]:[earningsInRaces12]])</f>
        <v>0</v>
      </c>
      <c r="R126" s="3">
        <f>SUM(Table3[[#This Row],[auctionPrice1]:[auctionPrice12]])</f>
        <v>20000</v>
      </c>
      <c r="S126" s="3">
        <f>SUM(Table3[[#This Row],[studFeeUSD1]:[studFeeUSD12]])</f>
        <v>-130000</v>
      </c>
      <c r="T126" s="7">
        <f>COUNT(Table3[[#This Row],[successfulService1]:[successfulService12]])</f>
        <v>2</v>
      </c>
      <c r="U126" s="7">
        <f>SUM(Table3[[#This Row],[successfulService1]:[successfulService12]])</f>
        <v>2</v>
      </c>
      <c r="V126" s="7">
        <f>SUM(Table3[[#This Row],[soldInAuction1]:[soldInAuction12]])</f>
        <v>1</v>
      </c>
      <c r="W126" s="7">
        <f>SUM(Table3[[#This Row],[foreignHorse1]:[foreignHorse12]])</f>
        <v>0</v>
      </c>
      <c r="X126" s="3">
        <v>-100000</v>
      </c>
      <c r="Y126" s="3">
        <v>-10000</v>
      </c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>
        <v>20000</v>
      </c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>
        <v>-100000</v>
      </c>
      <c r="BI126" s="3">
        <v>-30000</v>
      </c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>
        <v>1</v>
      </c>
      <c r="CG126" s="1">
        <v>1</v>
      </c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>
        <v>0</v>
      </c>
      <c r="CS126" s="1">
        <v>1</v>
      </c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>
        <v>0</v>
      </c>
      <c r="DE126" s="1">
        <v>0</v>
      </c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>
        <v>1</v>
      </c>
      <c r="DQ126" s="1">
        <v>2</v>
      </c>
      <c r="DR126" s="1"/>
      <c r="DS126" s="1"/>
      <c r="DT126" s="1"/>
      <c r="DU126" s="1"/>
      <c r="DV126" s="1"/>
      <c r="DW126" s="1"/>
      <c r="DX126" s="1"/>
      <c r="DY126" s="1"/>
      <c r="DZ126" s="1"/>
      <c r="EA126" s="1"/>
    </row>
    <row r="127" spans="1:131" x14ac:dyDescent="0.3">
      <c r="A127">
        <v>9392319</v>
      </c>
      <c r="B127" s="1" t="s">
        <v>535</v>
      </c>
      <c r="C127" s="1" t="s">
        <v>24</v>
      </c>
      <c r="D127" s="1">
        <v>2017</v>
      </c>
      <c r="E127" s="1">
        <v>1</v>
      </c>
      <c r="F127" s="10">
        <f>Table3[[#This Row],[First season 
with SF]]+Table3[[#This Row],['# Services 
provided]]</f>
        <v>2</v>
      </c>
      <c r="G127" s="26">
        <f>(Table3[[#This Row],[Total Income 
(Race + Price 
sold + Offs - maintenance cost)]]-Table3[[#This Row],[Price 
Bought]])/Table3[[#This Row],[Price 
Bought]]</f>
        <v>0.74952037654320969</v>
      </c>
      <c r="H127" s="31">
        <f>Table3[[#This Row],[Race 
earnings]]+Table3[[#This Row],[Price 
Sold]]-Table3[[#This Row],[Maintenance cost]]+Table3[[#This Row],[Total 
profit (Income - cost)]]</f>
        <v>1417111.5049999999</v>
      </c>
      <c r="I127" s="3">
        <f>_xlfn.IFNA(VLOOKUP(Table3[[#This Row],[damId]],Sheet1!$A$2:$M$970,5, FALSE), VLOOKUP(Table3[[#This Row],[dam]],Sheet1!$B$2:$M$970,4, FALSE))</f>
        <v>0</v>
      </c>
      <c r="J127" s="3">
        <f>_xlfn.IFNA(VLOOKUP(Table3[[#This Row],[damId]],Sheet1!$A$2:$M$970,13, FALSE), VLOOKUP(Table3[[#This Row],[dam]],Sheet1!$B$2:$M$970,13, FALSE))</f>
        <v>322152</v>
      </c>
      <c r="K127" s="3">
        <f>_xlfn.IFNA(VLOOKUP(Table3[[#This Row],[damId]],Sheet1!$A$2:$M$970,11, FALSE), VLOOKUP(Table3[[#This Row],[dam]],Sheet1!$B$2:$M$970,11, FALSE))</f>
        <v>810000</v>
      </c>
      <c r="L127" s="3">
        <f>_xlfn.IFNA(VLOOKUP(Table3[[#This Row],[damId]],Sheet1!$A$2:$M$970,12, FALSE), VLOOKUP(Table3[[#This Row],[dam]],Sheet1!$B$2:$M$970,12, FALSE))</f>
        <v>1132152</v>
      </c>
      <c r="M127" s="3">
        <f>_xlfn.IFNA(VLOOKUP(Table3[[#This Row],[damId]],Sheet1!$A$2:$T$970,20, FALSE), VLOOKUP(Table3[[#This Row],[dam]],Sheet1!$B$2:$T$970,20, FALSE))*Sheet1!$AD$3</f>
        <v>16068.495000000001</v>
      </c>
      <c r="N127" s="3">
        <f>Table3[[#This Row],[Total 
income (Earnings + value - stud fee)]]-Table3[[#This Row],[Maintenance cost ]]</f>
        <v>301028</v>
      </c>
      <c r="O127" s="3">
        <f>SUM(Table3[[#This Row],[income1]:[income12]])</f>
        <v>301028</v>
      </c>
      <c r="P127" s="3">
        <f>_xlfn.IFNA(VLOOKUP(Table3[[#This Row],[damId]],Sheet1!$A$2:$Y$970,23, FALSE), VLOOKUP(Table3[[#This Row],[dam]],Sheet1!$B$2:$Y$970,23, FALSE))*Sheet1!$AD$3</f>
        <v>0</v>
      </c>
      <c r="Q127" s="3">
        <f>SUM(Table3[[#This Row],[earningsInRaces1]:[earningsInRaces12]])</f>
        <v>0</v>
      </c>
      <c r="R127" s="3">
        <f>SUM(Table3[[#This Row],[auctionPrice1]:[auctionPrice12]])</f>
        <v>301028</v>
      </c>
      <c r="S127" s="3">
        <f>SUM(Table3[[#This Row],[studFeeUSD1]:[studFeeUSD12]])</f>
        <v>0</v>
      </c>
      <c r="T127" s="7">
        <f>COUNT(Table3[[#This Row],[successfulService1]:[successfulService12]])</f>
        <v>1</v>
      </c>
      <c r="U127" s="7">
        <f>SUM(Table3[[#This Row],[successfulService1]:[successfulService12]])</f>
        <v>1</v>
      </c>
      <c r="V127" s="7">
        <f>SUM(Table3[[#This Row],[soldInAuction1]:[soldInAuction12]])</f>
        <v>1</v>
      </c>
      <c r="W127" s="7">
        <f>SUM(Table3[[#This Row],[foreignHorse1]:[foreignHorse12]])</f>
        <v>0</v>
      </c>
      <c r="X127" s="3">
        <v>301028</v>
      </c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>
        <v>301028</v>
      </c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>
        <v>0</v>
      </c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>
        <v>1</v>
      </c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>
        <v>1</v>
      </c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>
        <v>0</v>
      </c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>
        <v>1</v>
      </c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</row>
    <row r="128" spans="1:131" x14ac:dyDescent="0.3">
      <c r="A128">
        <v>9398090</v>
      </c>
      <c r="B128" s="1" t="s">
        <v>537</v>
      </c>
      <c r="C128" s="1" t="s">
        <v>139</v>
      </c>
      <c r="D128" s="1">
        <v>2017</v>
      </c>
      <c r="E128" s="1">
        <v>1</v>
      </c>
      <c r="F128" s="10">
        <f>Table3[[#This Row],[First season 
with SF]]+Table3[[#This Row],['# Services 
provided]]</f>
        <v>2</v>
      </c>
      <c r="G128" s="26">
        <f>(Table3[[#This Row],[Total Income 
(Race + Price 
sold + Offs - maintenance cost)]]-Table3[[#This Row],[Price 
Bought]])/Table3[[#This Row],[Price 
Bought]]</f>
        <v>3.5464381999999999</v>
      </c>
      <c r="H128" s="31">
        <f>Table3[[#This Row],[Race 
earnings]]+Table3[[#This Row],[Price 
Sold]]-Table3[[#This Row],[Maintenance cost]]+Table3[[#This Row],[Total 
profit (Income - cost)]]</f>
        <v>227321.91</v>
      </c>
      <c r="I128" s="3">
        <f>_xlfn.IFNA(VLOOKUP(Table3[[#This Row],[damId]],Sheet1!$A$2:$M$970,5, FALSE), VLOOKUP(Table3[[#This Row],[dam]],Sheet1!$B$2:$M$970,4, FALSE))</f>
        <v>0</v>
      </c>
      <c r="J128" s="3">
        <f>_xlfn.IFNA(VLOOKUP(Table3[[#This Row],[damId]],Sheet1!$A$2:$M$970,13, FALSE), VLOOKUP(Table3[[#This Row],[dam]],Sheet1!$B$2:$M$970,13, FALSE))</f>
        <v>95000</v>
      </c>
      <c r="K128" s="3">
        <f>_xlfn.IFNA(VLOOKUP(Table3[[#This Row],[damId]],Sheet1!$A$2:$M$970,11, FALSE), VLOOKUP(Table3[[#This Row],[dam]],Sheet1!$B$2:$M$970,11, FALSE))</f>
        <v>50000</v>
      </c>
      <c r="L128" s="3">
        <f>_xlfn.IFNA(VLOOKUP(Table3[[#This Row],[damId]],Sheet1!$A$2:$M$970,12, FALSE), VLOOKUP(Table3[[#This Row],[dam]],Sheet1!$B$2:$M$970,12, FALSE))</f>
        <v>145000</v>
      </c>
      <c r="M128" s="3">
        <f>_xlfn.IFNA(VLOOKUP(Table3[[#This Row],[damId]],Sheet1!$A$2:$T$970,20, FALSE), VLOOKUP(Table3[[#This Row],[dam]],Sheet1!$B$2:$T$970,20, FALSE))*Sheet1!$AD$3</f>
        <v>35178.090000000004</v>
      </c>
      <c r="N128" s="3">
        <f>Table3[[#This Row],[Total 
income (Earnings + value - stud fee)]]-Table3[[#This Row],[Maintenance cost ]]</f>
        <v>117500</v>
      </c>
      <c r="O128" s="3">
        <f>SUM(Table3[[#This Row],[income1]:[income12]])</f>
        <v>117500</v>
      </c>
      <c r="P128" s="3">
        <f>_xlfn.IFNA(VLOOKUP(Table3[[#This Row],[damId]],Sheet1!$A$2:$Y$970,23, FALSE), VLOOKUP(Table3[[#This Row],[dam]],Sheet1!$B$2:$Y$970,23, FALSE))*Sheet1!$AD$3</f>
        <v>0</v>
      </c>
      <c r="Q128" s="3">
        <f>SUM(Table3[[#This Row],[earningsInRaces1]:[earningsInRaces12]])</f>
        <v>0</v>
      </c>
      <c r="R128" s="3">
        <f>SUM(Table3[[#This Row],[auctionPrice1]:[auctionPrice12]])</f>
        <v>130000</v>
      </c>
      <c r="S128" s="3">
        <f>SUM(Table3[[#This Row],[studFeeUSD1]:[studFeeUSD12]])</f>
        <v>-12500</v>
      </c>
      <c r="T128" s="7">
        <f>COUNT(Table3[[#This Row],[successfulService1]:[successfulService12]])</f>
        <v>1</v>
      </c>
      <c r="U128" s="7">
        <f>SUM(Table3[[#This Row],[successfulService1]:[successfulService12]])</f>
        <v>1</v>
      </c>
      <c r="V128" s="7">
        <f>SUM(Table3[[#This Row],[soldInAuction1]:[soldInAuction12]])</f>
        <v>1</v>
      </c>
      <c r="W128" s="7">
        <f>SUM(Table3[[#This Row],[foreignHorse1]:[foreignHorse12]])</f>
        <v>0</v>
      </c>
      <c r="X128" s="3">
        <v>117500</v>
      </c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>
        <v>130000</v>
      </c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>
        <v>-12500</v>
      </c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>
        <v>1</v>
      </c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>
        <v>1</v>
      </c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>
        <v>0</v>
      </c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>
        <v>1</v>
      </c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</row>
    <row r="129" spans="1:131" x14ac:dyDescent="0.3">
      <c r="A129">
        <v>9492639</v>
      </c>
      <c r="B129" s="1" t="s">
        <v>570</v>
      </c>
      <c r="C129" s="1" t="s">
        <v>24</v>
      </c>
      <c r="D129" s="1">
        <v>2017</v>
      </c>
      <c r="E129" s="1">
        <v>1</v>
      </c>
      <c r="F129" s="10">
        <f>Table3[[#This Row],[First season 
with SF]]+Table3[[#This Row],['# Services 
provided]]</f>
        <v>7</v>
      </c>
      <c r="G129" s="26">
        <f>(Table3[[#This Row],[Total Income 
(Race + Price 
sold + Offs - maintenance cost)]]-Table3[[#This Row],[Price 
Bought]])/Table3[[#This Row],[Price 
Bought]]</f>
        <v>0.6501258923076928</v>
      </c>
      <c r="H129" s="31">
        <f>Table3[[#This Row],[Race 
earnings]]+Table3[[#This Row],[Price 
Sold]]-Table3[[#This Row],[Maintenance cost]]+Table3[[#This Row],[Total 
profit (Income - cost)]]</f>
        <v>429032.73200000013</v>
      </c>
      <c r="I129" s="3">
        <f>_xlfn.IFNA(VLOOKUP(Table3[[#This Row],[damId]],Sheet1!$A$2:$M$970,5, FALSE), VLOOKUP(Table3[[#This Row],[dam]],Sheet1!$B$2:$M$970,4, FALSE))</f>
        <v>0</v>
      </c>
      <c r="J129" s="3">
        <f>_xlfn.IFNA(VLOOKUP(Table3[[#This Row],[damId]],Sheet1!$A$2:$M$970,13, FALSE), VLOOKUP(Table3[[#This Row],[dam]],Sheet1!$B$2:$M$970,13, FALSE))</f>
        <v>-260000</v>
      </c>
      <c r="K129" s="3">
        <f>_xlfn.IFNA(VLOOKUP(Table3[[#This Row],[damId]],Sheet1!$A$2:$M$970,11, FALSE), VLOOKUP(Table3[[#This Row],[dam]],Sheet1!$B$2:$M$970,11, FALSE))</f>
        <v>260000</v>
      </c>
      <c r="L129" s="3">
        <f>_xlfn.IFNA(VLOOKUP(Table3[[#This Row],[damId]],Sheet1!$A$2:$M$970,12, FALSE), VLOOKUP(Table3[[#This Row],[dam]],Sheet1!$B$2:$M$970,12, FALSE))</f>
        <v>0</v>
      </c>
      <c r="M129" s="3">
        <f>_xlfn.IFNA(VLOOKUP(Table3[[#This Row],[damId]],Sheet1!$A$2:$T$970,20, FALSE), VLOOKUP(Table3[[#This Row],[dam]],Sheet1!$B$2:$T$970,20, FALSE))*Sheet1!$AD$3</f>
        <v>124191.77999999998</v>
      </c>
      <c r="N129" s="3">
        <f>Table3[[#This Row],[Total 
income (Earnings + value - stud fee)]]-Table3[[#This Row],[Maintenance cost ]]</f>
        <v>553224.5120000001</v>
      </c>
      <c r="O129" s="3">
        <f>SUM(Table3[[#This Row],[income1]:[income12]])</f>
        <v>562347.80000000005</v>
      </c>
      <c r="P129" s="3">
        <f>_xlfn.IFNA(VLOOKUP(Table3[[#This Row],[damId]],Sheet1!$A$2:$Y$970,23, FALSE), VLOOKUP(Table3[[#This Row],[dam]],Sheet1!$B$2:$Y$970,23, FALSE))*Sheet1!$AD$3</f>
        <v>9123.2879999999986</v>
      </c>
      <c r="Q129" s="3">
        <f>SUM(Table3[[#This Row],[earningsInRaces1]:[earningsInRaces12]])</f>
        <v>0</v>
      </c>
      <c r="R129" s="3">
        <f>SUM(Table3[[#This Row],[auctionPrice1]:[auctionPrice12]])</f>
        <v>637607</v>
      </c>
      <c r="S129" s="3">
        <f>SUM(Table3[[#This Row],[studFeeUSD1]:[studFeeUSD12]])</f>
        <v>-75259.259999999995</v>
      </c>
      <c r="T129" s="7">
        <f>COUNT(Table3[[#This Row],[successfulService1]:[successfulService12]])</f>
        <v>6</v>
      </c>
      <c r="U129" s="7">
        <f>SUM(Table3[[#This Row],[successfulService1]:[successfulService12]])</f>
        <v>5</v>
      </c>
      <c r="V129" s="7">
        <f>SUM(Table3[[#This Row],[soldInAuction1]:[soldInAuction12]])</f>
        <v>4</v>
      </c>
      <c r="W129" s="7">
        <f>SUM(Table3[[#This Row],[foreignHorse1]:[foreignHorse12]])</f>
        <v>3</v>
      </c>
      <c r="X129" s="3">
        <v>95000</v>
      </c>
      <c r="Y129" s="3">
        <v>109734</v>
      </c>
      <c r="Z129" s="3">
        <v>46405</v>
      </c>
      <c r="AA129" s="3">
        <v>311208.8</v>
      </c>
      <c r="AB129" s="3">
        <v>0</v>
      </c>
      <c r="AC129" s="3">
        <v>0</v>
      </c>
      <c r="AD129" s="3"/>
      <c r="AE129" s="3"/>
      <c r="AF129" s="3"/>
      <c r="AG129" s="3"/>
      <c r="AH129" s="3"/>
      <c r="AI129" s="3"/>
      <c r="AJ129" s="3">
        <v>0</v>
      </c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>
        <v>95000</v>
      </c>
      <c r="AW129" s="3">
        <v>109734</v>
      </c>
      <c r="AX129" s="3">
        <v>46405</v>
      </c>
      <c r="AY129" s="3">
        <v>386468</v>
      </c>
      <c r="AZ129" s="3"/>
      <c r="BA129" s="3"/>
      <c r="BB129" s="3"/>
      <c r="BC129" s="3"/>
      <c r="BD129" s="3"/>
      <c r="BE129" s="3"/>
      <c r="BF129" s="3"/>
      <c r="BG129" s="3"/>
      <c r="BH129" s="3">
        <v>0</v>
      </c>
      <c r="BI129" s="3"/>
      <c r="BJ129" s="3"/>
      <c r="BK129" s="3">
        <v>-75259.259999999995</v>
      </c>
      <c r="BL129" s="3"/>
      <c r="BM129" s="3"/>
      <c r="BN129" s="3"/>
      <c r="BO129" s="3"/>
      <c r="BP129" s="3"/>
      <c r="BQ129" s="3"/>
      <c r="BR129" s="3"/>
      <c r="BS129" s="3"/>
      <c r="BT129" s="1">
        <v>0</v>
      </c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>
        <v>1</v>
      </c>
      <c r="CG129" s="1">
        <v>1</v>
      </c>
      <c r="CH129" s="1">
        <v>1</v>
      </c>
      <c r="CI129" s="1">
        <v>1</v>
      </c>
      <c r="CJ129" s="1">
        <v>0</v>
      </c>
      <c r="CK129" s="1">
        <v>1</v>
      </c>
      <c r="CL129" s="1"/>
      <c r="CM129" s="1"/>
      <c r="CN129" s="1"/>
      <c r="CO129" s="1"/>
      <c r="CP129" s="1"/>
      <c r="CQ129" s="1"/>
      <c r="CR129" s="1">
        <v>1</v>
      </c>
      <c r="CS129" s="1">
        <v>1</v>
      </c>
      <c r="CT129" s="1">
        <v>1</v>
      </c>
      <c r="CU129" s="1">
        <v>1</v>
      </c>
      <c r="CV129" s="1">
        <v>0</v>
      </c>
      <c r="CW129" s="1">
        <v>0</v>
      </c>
      <c r="CX129" s="1"/>
      <c r="CY129" s="1"/>
      <c r="CZ129" s="1"/>
      <c r="DA129" s="1"/>
      <c r="DB129" s="1"/>
      <c r="DC129" s="1"/>
      <c r="DD129" s="1">
        <v>0</v>
      </c>
      <c r="DE129" s="1">
        <v>1</v>
      </c>
      <c r="DF129" s="1">
        <v>1</v>
      </c>
      <c r="DG129" s="1">
        <v>1</v>
      </c>
      <c r="DH129" s="1">
        <v>0</v>
      </c>
      <c r="DI129" s="1">
        <v>0</v>
      </c>
      <c r="DJ129" s="1"/>
      <c r="DK129" s="1"/>
      <c r="DL129" s="1"/>
      <c r="DM129" s="1"/>
      <c r="DN129" s="1"/>
      <c r="DO129" s="1"/>
      <c r="DP129" s="1">
        <v>1</v>
      </c>
      <c r="DQ129" s="1">
        <v>2</v>
      </c>
      <c r="DR129" s="1">
        <v>3</v>
      </c>
      <c r="DS129" s="1">
        <v>4</v>
      </c>
      <c r="DT129" s="1">
        <v>5</v>
      </c>
      <c r="DU129" s="1">
        <v>7</v>
      </c>
      <c r="DV129" s="1"/>
      <c r="DW129" s="1"/>
      <c r="DX129" s="1"/>
      <c r="DY129" s="1"/>
      <c r="DZ129" s="1"/>
      <c r="EA129" s="1"/>
    </row>
    <row r="130" spans="1:131" x14ac:dyDescent="0.3">
      <c r="A130">
        <v>6634018</v>
      </c>
      <c r="B130" s="1" t="s">
        <v>109</v>
      </c>
      <c r="C130" s="1" t="s">
        <v>24</v>
      </c>
      <c r="D130" s="1">
        <v>2018</v>
      </c>
      <c r="E130" s="1">
        <v>10</v>
      </c>
      <c r="F130" s="10">
        <f>Table3[[#This Row],[First season 
with SF]]+Table3[[#This Row],['# Services 
provided]]</f>
        <v>11</v>
      </c>
      <c r="G130" s="26">
        <f>(Table3[[#This Row],[Total Income 
(Race + Price 
sold + Offs - maintenance cost)]]-Table3[[#This Row],[Price 
Bought]])/Table3[[#This Row],[Price 
Bought]]</f>
        <v>9.7602187499998758E-3</v>
      </c>
      <c r="H130" s="31">
        <f>Table3[[#This Row],[Race 
earnings]]+Table3[[#This Row],[Price 
Sold]]-Table3[[#This Row],[Maintenance cost]]+Table3[[#This Row],[Total 
profit (Income - cost)]]</f>
        <v>80780.81749999999</v>
      </c>
      <c r="I130" s="3">
        <f>_xlfn.IFNA(VLOOKUP(Table3[[#This Row],[damId]],Sheet1!$A$2:$M$970,5, FALSE), VLOOKUP(Table3[[#This Row],[dam]],Sheet1!$B$2:$M$970,4, FALSE))</f>
        <v>0</v>
      </c>
      <c r="J130" s="3">
        <f>_xlfn.IFNA(VLOOKUP(Table3[[#This Row],[damId]],Sheet1!$A$2:$M$970,13, FALSE), VLOOKUP(Table3[[#This Row],[dam]],Sheet1!$B$2:$M$970,13, FALSE))</f>
        <v>-66000</v>
      </c>
      <c r="K130" s="3">
        <f>_xlfn.IFNA(VLOOKUP(Table3[[#This Row],[damId]],Sheet1!$A$2:$M$970,11, FALSE), VLOOKUP(Table3[[#This Row],[dam]],Sheet1!$B$2:$M$970,11, FALSE))</f>
        <v>80000</v>
      </c>
      <c r="L130" s="3">
        <f>_xlfn.IFNA(VLOOKUP(Table3[[#This Row],[damId]],Sheet1!$A$2:$M$970,12, FALSE), VLOOKUP(Table3[[#This Row],[dam]],Sheet1!$B$2:$M$970,12, FALSE))</f>
        <v>14000</v>
      </c>
      <c r="M130" s="3">
        <f>_xlfn.IFNA(VLOOKUP(Table3[[#This Row],[damId]],Sheet1!$A$2:$T$970,20, FALSE), VLOOKUP(Table3[[#This Row],[dam]],Sheet1!$B$2:$T$970,20, FALSE))*Sheet1!$AD$3</f>
        <v>15041.1</v>
      </c>
      <c r="N130" s="3">
        <f>Table3[[#This Row],[Total 
income (Earnings + value - stud fee)]]-Table3[[#This Row],[Maintenance cost ]]</f>
        <v>81821.917499999996</v>
      </c>
      <c r="O130" s="3">
        <f>SUM(Table3[[#This Row],[income1]:[income12]])</f>
        <v>90000</v>
      </c>
      <c r="P130" s="3">
        <f>_xlfn.IFNA(VLOOKUP(Table3[[#This Row],[damId]],Sheet1!$A$2:$Y$970,23, FALSE), VLOOKUP(Table3[[#This Row],[dam]],Sheet1!$B$2:$Y$970,23, FALSE))*Sheet1!$AD$3</f>
        <v>8178.0825000000004</v>
      </c>
      <c r="Q130" s="3">
        <f>SUM(Table3[[#This Row],[earningsInRaces1]:[earningsInRaces12]])</f>
        <v>0</v>
      </c>
      <c r="R130" s="3">
        <f>SUM(Table3[[#This Row],[auctionPrice1]:[auctionPrice12]])</f>
        <v>90000</v>
      </c>
      <c r="S130" s="3">
        <f>SUM(Table3[[#This Row],[studFeeUSD1]:[studFeeUSD12]])</f>
        <v>0</v>
      </c>
      <c r="T130" s="7">
        <f>COUNT(Table3[[#This Row],[successfulService1]:[successfulService12]])</f>
        <v>1</v>
      </c>
      <c r="U130" s="7">
        <f>SUM(Table3[[#This Row],[successfulService1]:[successfulService12]])</f>
        <v>1</v>
      </c>
      <c r="V130" s="7">
        <f>SUM(Table3[[#This Row],[soldInAuction1]:[soldInAuction12]])</f>
        <v>1</v>
      </c>
      <c r="W130" s="7">
        <f>SUM(Table3[[#This Row],[foreignHorse1]:[foreignHorse12]])</f>
        <v>0</v>
      </c>
      <c r="X130" s="3">
        <v>90000</v>
      </c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>
        <v>0</v>
      </c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>
        <v>90000</v>
      </c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>
        <v>0</v>
      </c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1">
        <v>0</v>
      </c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>
        <v>1</v>
      </c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>
        <v>1</v>
      </c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>
        <v>0</v>
      </c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>
        <v>10</v>
      </c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</row>
    <row r="131" spans="1:131" x14ac:dyDescent="0.3">
      <c r="A131">
        <v>6773709</v>
      </c>
      <c r="B131" s="1" t="s">
        <v>113</v>
      </c>
      <c r="C131" s="1" t="s">
        <v>24</v>
      </c>
      <c r="D131" s="1">
        <v>2018</v>
      </c>
      <c r="E131" s="1">
        <v>11</v>
      </c>
      <c r="F131" s="10">
        <f>Table3[[#This Row],[First season 
with SF]]+Table3[[#This Row],['# Services 
provided]]</f>
        <v>12</v>
      </c>
      <c r="G131" s="26">
        <f>(Table3[[#This Row],[Total Income 
(Race + Price 
sold + Offs - maintenance cost)]]-Table3[[#This Row],[Price 
Bought]])/Table3[[#This Row],[Price 
Bought]]</f>
        <v>-1.6609588315217392</v>
      </c>
      <c r="H131" s="31">
        <f>Table3[[#This Row],[Race 
earnings]]+Table3[[#This Row],[Price 
Sold]]-Table3[[#This Row],[Maintenance cost]]+Table3[[#This Row],[Total 
profit (Income - cost)]]</f>
        <v>-60808.212499999994</v>
      </c>
      <c r="I131" s="3">
        <f>_xlfn.IFNA(VLOOKUP(Table3[[#This Row],[damId]],Sheet1!$A$2:$M$970,5, FALSE), VLOOKUP(Table3[[#This Row],[dam]],Sheet1!$B$2:$M$970,4, FALSE))</f>
        <v>0</v>
      </c>
      <c r="J131" s="3">
        <f>_xlfn.IFNA(VLOOKUP(Table3[[#This Row],[damId]],Sheet1!$A$2:$M$970,13, FALSE), VLOOKUP(Table3[[#This Row],[dam]],Sheet1!$B$2:$M$970,13, FALSE))</f>
        <v>-92000</v>
      </c>
      <c r="K131" s="3">
        <f>_xlfn.IFNA(VLOOKUP(Table3[[#This Row],[damId]],Sheet1!$A$2:$M$970,11, FALSE), VLOOKUP(Table3[[#This Row],[dam]],Sheet1!$B$2:$M$970,11, FALSE))</f>
        <v>92000</v>
      </c>
      <c r="L131" s="3">
        <f>_xlfn.IFNA(VLOOKUP(Table3[[#This Row],[damId]],Sheet1!$A$2:$M$970,12, FALSE), VLOOKUP(Table3[[#This Row],[dam]],Sheet1!$B$2:$M$970,12, FALSE))</f>
        <v>0</v>
      </c>
      <c r="M131" s="3">
        <f>_xlfn.IFNA(VLOOKUP(Table3[[#This Row],[damId]],Sheet1!$A$2:$T$970,20, FALSE), VLOOKUP(Table3[[#This Row],[dam]],Sheet1!$B$2:$T$970,20, FALSE))*Sheet1!$AD$3</f>
        <v>108986.295</v>
      </c>
      <c r="N131" s="3">
        <f>Table3[[#This Row],[Total 
income (Earnings + value - stud fee)]]-Table3[[#This Row],[Maintenance cost ]]</f>
        <v>48178.082500000004</v>
      </c>
      <c r="O131" s="3">
        <f>SUM(Table3[[#This Row],[income1]:[income12]])</f>
        <v>58000</v>
      </c>
      <c r="P131" s="3">
        <f>_xlfn.IFNA(VLOOKUP(Table3[[#This Row],[damId]],Sheet1!$A$2:$Y$970,23, FALSE), VLOOKUP(Table3[[#This Row],[dam]],Sheet1!$B$2:$Y$970,23, FALSE))*Sheet1!$AD$3</f>
        <v>9821.9174999999996</v>
      </c>
      <c r="Q131" s="3">
        <f>SUM(Table3[[#This Row],[earningsInRaces1]:[earningsInRaces12]])</f>
        <v>0</v>
      </c>
      <c r="R131" s="3">
        <f>SUM(Table3[[#This Row],[auctionPrice1]:[auctionPrice12]])</f>
        <v>58000</v>
      </c>
      <c r="S131" s="3">
        <f>SUM(Table3[[#This Row],[studFeeUSD1]:[studFeeUSD12]])</f>
        <v>0</v>
      </c>
      <c r="T131" s="7">
        <f>COUNT(Table3[[#This Row],[successfulService1]:[successfulService12]])</f>
        <v>1</v>
      </c>
      <c r="U131" s="7">
        <f>SUM(Table3[[#This Row],[successfulService1]:[successfulService12]])</f>
        <v>1</v>
      </c>
      <c r="V131" s="7">
        <f>SUM(Table3[[#This Row],[soldInAuction1]:[soldInAuction12]])</f>
        <v>1</v>
      </c>
      <c r="W131" s="7">
        <f>SUM(Table3[[#This Row],[foreignHorse1]:[foreignHorse12]])</f>
        <v>0</v>
      </c>
      <c r="X131" s="3">
        <v>58000</v>
      </c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>
        <v>0</v>
      </c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>
        <v>58000</v>
      </c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>
        <v>0</v>
      </c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1">
        <v>0</v>
      </c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>
        <v>1</v>
      </c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>
        <v>1</v>
      </c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>
        <v>0</v>
      </c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>
        <v>11</v>
      </c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</row>
    <row r="132" spans="1:131" x14ac:dyDescent="0.3">
      <c r="A132">
        <v>6801852</v>
      </c>
      <c r="B132" s="1" t="s">
        <v>117</v>
      </c>
      <c r="C132" s="1" t="s">
        <v>24</v>
      </c>
      <c r="D132" s="1">
        <v>2018</v>
      </c>
      <c r="E132" s="1">
        <v>8</v>
      </c>
      <c r="F132" s="10">
        <f>Table3[[#This Row],[First season 
with SF]]+Table3[[#This Row],['# Services 
provided]]</f>
        <v>9</v>
      </c>
      <c r="G132" s="26">
        <f>(Table3[[#This Row],[Total Income 
(Race + Price 
sold + Offs - maintenance cost)]]-Table3[[#This Row],[Price 
Bought]])/Table3[[#This Row],[Price 
Bought]]</f>
        <v>-0.40077748648648648</v>
      </c>
      <c r="H132" s="31">
        <f>Table3[[#This Row],[Race 
earnings]]+Table3[[#This Row],[Price 
Sold]]-Table3[[#This Row],[Maintenance cost]]+Table3[[#This Row],[Total 
profit (Income - cost)]]</f>
        <v>22171.233</v>
      </c>
      <c r="I132" s="3">
        <f>_xlfn.IFNA(VLOOKUP(Table3[[#This Row],[damId]],Sheet1!$A$2:$M$970,5, FALSE), VLOOKUP(Table3[[#This Row],[dam]],Sheet1!$B$2:$M$970,4, FALSE))</f>
        <v>0</v>
      </c>
      <c r="J132" s="3">
        <f>_xlfn.IFNA(VLOOKUP(Table3[[#This Row],[damId]],Sheet1!$A$2:$M$970,13, FALSE), VLOOKUP(Table3[[#This Row],[dam]],Sheet1!$B$2:$M$970,13, FALSE))</f>
        <v>-28500</v>
      </c>
      <c r="K132" s="3">
        <f>_xlfn.IFNA(VLOOKUP(Table3[[#This Row],[damId]],Sheet1!$A$2:$M$970,11, FALSE), VLOOKUP(Table3[[#This Row],[dam]],Sheet1!$B$2:$M$970,11, FALSE))</f>
        <v>37000</v>
      </c>
      <c r="L132" s="3">
        <f>_xlfn.IFNA(VLOOKUP(Table3[[#This Row],[damId]],Sheet1!$A$2:$M$970,12, FALSE), VLOOKUP(Table3[[#This Row],[dam]],Sheet1!$B$2:$M$970,12, FALSE))</f>
        <v>8500</v>
      </c>
      <c r="M132" s="3">
        <f>_xlfn.IFNA(VLOOKUP(Table3[[#This Row],[damId]],Sheet1!$A$2:$T$970,20, FALSE), VLOOKUP(Table3[[#This Row],[dam]],Sheet1!$B$2:$T$970,20, FALSE))*Sheet1!$AD$3</f>
        <v>14876.712</v>
      </c>
      <c r="N132" s="3">
        <f>Table3[[#This Row],[Total 
income (Earnings + value - stud fee)]]-Table3[[#This Row],[Maintenance cost ]]</f>
        <v>28547.945</v>
      </c>
      <c r="O132" s="3">
        <f>SUM(Table3[[#This Row],[income1]:[income12]])</f>
        <v>50000</v>
      </c>
      <c r="P132" s="3">
        <f>_xlfn.IFNA(VLOOKUP(Table3[[#This Row],[damId]],Sheet1!$A$2:$Y$970,23, FALSE), VLOOKUP(Table3[[#This Row],[dam]],Sheet1!$B$2:$Y$970,23, FALSE))*Sheet1!$AD$3</f>
        <v>21452.055</v>
      </c>
      <c r="Q132" s="3">
        <f>SUM(Table3[[#This Row],[earningsInRaces1]:[earningsInRaces12]])</f>
        <v>0</v>
      </c>
      <c r="R132" s="3">
        <f>SUM(Table3[[#This Row],[auctionPrice1]:[auctionPrice12]])</f>
        <v>50000</v>
      </c>
      <c r="S132" s="3">
        <f>SUM(Table3[[#This Row],[studFeeUSD1]:[studFeeUSD12]])</f>
        <v>0</v>
      </c>
      <c r="T132" s="7">
        <f>COUNT(Table3[[#This Row],[successfulService1]:[successfulService12]])</f>
        <v>1</v>
      </c>
      <c r="U132" s="7">
        <f>SUM(Table3[[#This Row],[successfulService1]:[successfulService12]])</f>
        <v>1</v>
      </c>
      <c r="V132" s="7">
        <f>SUM(Table3[[#This Row],[soldInAuction1]:[soldInAuction12]])</f>
        <v>1</v>
      </c>
      <c r="W132" s="7">
        <f>SUM(Table3[[#This Row],[foreignHorse1]:[foreignHorse12]])</f>
        <v>0</v>
      </c>
      <c r="X132" s="3">
        <v>50000</v>
      </c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>
        <v>0</v>
      </c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>
        <v>50000</v>
      </c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>
        <v>0</v>
      </c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1">
        <v>0</v>
      </c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>
        <v>1</v>
      </c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>
        <v>1</v>
      </c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>
        <v>0</v>
      </c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>
        <v>8</v>
      </c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</row>
    <row r="133" spans="1:131" x14ac:dyDescent="0.3">
      <c r="A133">
        <v>7098714</v>
      </c>
      <c r="B133" s="1" t="s">
        <v>131</v>
      </c>
      <c r="C133" s="1" t="s">
        <v>24</v>
      </c>
      <c r="D133" s="1">
        <v>2018</v>
      </c>
      <c r="E133" s="1">
        <v>9</v>
      </c>
      <c r="F133" s="10">
        <f>Table3[[#This Row],[First season 
with SF]]+Table3[[#This Row],['# Services 
provided]]</f>
        <v>13</v>
      </c>
      <c r="G133" s="26">
        <f>(Table3[[#This Row],[Total Income 
(Race + Price 
sold + Offs - maintenance cost)]]-Table3[[#This Row],[Price 
Bought]])/Table3[[#This Row],[Price 
Bought]]</f>
        <v>-1.53854796</v>
      </c>
      <c r="H133" s="31">
        <f>Table3[[#This Row],[Race 
earnings]]+Table3[[#This Row],[Price 
Sold]]-Table3[[#This Row],[Maintenance cost]]+Table3[[#This Row],[Total 
profit (Income - cost)]]</f>
        <v>-269273.98</v>
      </c>
      <c r="I133" s="3">
        <f>_xlfn.IFNA(VLOOKUP(Table3[[#This Row],[damId]],Sheet1!$A$2:$M$970,5, FALSE), VLOOKUP(Table3[[#This Row],[dam]],Sheet1!$B$2:$M$970,4, FALSE))</f>
        <v>0</v>
      </c>
      <c r="J133" s="3">
        <f>_xlfn.IFNA(VLOOKUP(Table3[[#This Row],[damId]],Sheet1!$A$2:$M$970,13, FALSE), VLOOKUP(Table3[[#This Row],[dam]],Sheet1!$B$2:$M$970,13, FALSE))</f>
        <v>-500000</v>
      </c>
      <c r="K133" s="3">
        <f>_xlfn.IFNA(VLOOKUP(Table3[[#This Row],[damId]],Sheet1!$A$2:$M$970,11, FALSE), VLOOKUP(Table3[[#This Row],[dam]],Sheet1!$B$2:$M$970,11, FALSE))</f>
        <v>500000</v>
      </c>
      <c r="L133" s="3">
        <f>_xlfn.IFNA(VLOOKUP(Table3[[#This Row],[damId]],Sheet1!$A$2:$M$970,12, FALSE), VLOOKUP(Table3[[#This Row],[dam]],Sheet1!$B$2:$M$970,12, FALSE))</f>
        <v>0</v>
      </c>
      <c r="M133" s="3">
        <f>_xlfn.IFNA(VLOOKUP(Table3[[#This Row],[damId]],Sheet1!$A$2:$T$970,20, FALSE), VLOOKUP(Table3[[#This Row],[dam]],Sheet1!$B$2:$T$970,20, FALSE))*Sheet1!$AD$3</f>
        <v>109273.98000000001</v>
      </c>
      <c r="N133" s="3">
        <f>Table3[[#This Row],[Total 
income (Earnings + value - stud fee)]]-Table3[[#This Row],[Maintenance cost ]]</f>
        <v>-160000</v>
      </c>
      <c r="O133" s="3">
        <f>SUM(Table3[[#This Row],[income1]:[income12]])</f>
        <v>-160000</v>
      </c>
      <c r="P133" s="3">
        <f>_xlfn.IFNA(VLOOKUP(Table3[[#This Row],[damId]],Sheet1!$A$2:$Y$970,23, FALSE), VLOOKUP(Table3[[#This Row],[dam]],Sheet1!$B$2:$Y$970,23, FALSE))*Sheet1!$AD$3</f>
        <v>0</v>
      </c>
      <c r="Q133" s="3">
        <f>SUM(Table3[[#This Row],[earningsInRaces1]:[earningsInRaces12]])</f>
        <v>0</v>
      </c>
      <c r="R133" s="3">
        <f>SUM(Table3[[#This Row],[auctionPrice1]:[auctionPrice12]])</f>
        <v>0</v>
      </c>
      <c r="S133" s="3">
        <f>SUM(Table3[[#This Row],[studFeeUSD1]:[studFeeUSD12]])</f>
        <v>-160000</v>
      </c>
      <c r="T133" s="7">
        <f>COUNT(Table3[[#This Row],[successfulService1]:[successfulService12]])</f>
        <v>4</v>
      </c>
      <c r="U133" s="7">
        <f>SUM(Table3[[#This Row],[successfulService1]:[successfulService12]])</f>
        <v>0</v>
      </c>
      <c r="V133" s="7">
        <f>SUM(Table3[[#This Row],[soldInAuction1]:[soldInAuction12]])</f>
        <v>0</v>
      </c>
      <c r="W133" s="7">
        <f>SUM(Table3[[#This Row],[foreignHorse1]:[foreignHorse12]])</f>
        <v>0</v>
      </c>
      <c r="X133" s="3">
        <v>0</v>
      </c>
      <c r="Y133" s="3">
        <v>-110000</v>
      </c>
      <c r="Z133" s="3">
        <v>-25000</v>
      </c>
      <c r="AA133" s="3">
        <v>-25000</v>
      </c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>
        <v>0</v>
      </c>
      <c r="BI133" s="3">
        <v>-110000</v>
      </c>
      <c r="BJ133" s="3">
        <v>-25000</v>
      </c>
      <c r="BK133" s="3">
        <v>-25000</v>
      </c>
      <c r="BL133" s="3"/>
      <c r="BM133" s="3"/>
      <c r="BN133" s="3"/>
      <c r="BO133" s="3"/>
      <c r="BP133" s="3"/>
      <c r="BQ133" s="3"/>
      <c r="BR133" s="3"/>
      <c r="BS133" s="3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>
        <v>0</v>
      </c>
      <c r="CG133" s="1">
        <v>0</v>
      </c>
      <c r="CH133" s="1">
        <v>0</v>
      </c>
      <c r="CI133" s="1">
        <v>0</v>
      </c>
      <c r="CJ133" s="1"/>
      <c r="CK133" s="1"/>
      <c r="CL133" s="1"/>
      <c r="CM133" s="1"/>
      <c r="CN133" s="1"/>
      <c r="CO133" s="1"/>
      <c r="CP133" s="1"/>
      <c r="CQ133" s="1"/>
      <c r="CR133" s="1">
        <v>0</v>
      </c>
      <c r="CS133" s="1">
        <v>0</v>
      </c>
      <c r="CT133" s="1">
        <v>0</v>
      </c>
      <c r="CU133" s="1">
        <v>0</v>
      </c>
      <c r="CV133" s="1"/>
      <c r="CW133" s="1"/>
      <c r="CX133" s="1"/>
      <c r="CY133" s="1"/>
      <c r="CZ133" s="1"/>
      <c r="DA133" s="1"/>
      <c r="DB133" s="1"/>
      <c r="DC133" s="1"/>
      <c r="DD133" s="1">
        <v>0</v>
      </c>
      <c r="DE133" s="1">
        <v>0</v>
      </c>
      <c r="DF133" s="1">
        <v>0</v>
      </c>
      <c r="DG133" s="1">
        <v>0</v>
      </c>
      <c r="DH133" s="1"/>
      <c r="DI133" s="1"/>
      <c r="DJ133" s="1"/>
      <c r="DK133" s="1"/>
      <c r="DL133" s="1"/>
      <c r="DM133" s="1"/>
      <c r="DN133" s="1"/>
      <c r="DO133" s="1"/>
      <c r="DP133" s="1">
        <v>9</v>
      </c>
      <c r="DQ133" s="1">
        <v>10</v>
      </c>
      <c r="DR133" s="1">
        <v>11</v>
      </c>
      <c r="DS133" s="1">
        <v>12</v>
      </c>
      <c r="DT133" s="1"/>
      <c r="DU133" s="1"/>
      <c r="DV133" s="1"/>
      <c r="DW133" s="1"/>
      <c r="DX133" s="1"/>
      <c r="DY133" s="1"/>
      <c r="DZ133" s="1"/>
      <c r="EA133" s="1"/>
    </row>
    <row r="134" spans="1:131" x14ac:dyDescent="0.3">
      <c r="A134">
        <v>7222490</v>
      </c>
      <c r="B134" s="1" t="s">
        <v>148</v>
      </c>
      <c r="C134" s="1" t="s">
        <v>24</v>
      </c>
      <c r="D134" s="1">
        <v>2018</v>
      </c>
      <c r="E134" s="1">
        <v>9</v>
      </c>
      <c r="F134" s="10">
        <f>Table3[[#This Row],[First season 
with SF]]+Table3[[#This Row],['# Services 
provided]]</f>
        <v>10</v>
      </c>
      <c r="G134" s="26">
        <f>(Table3[[#This Row],[Total Income 
(Race + Price 
sold + Offs - maintenance cost)]]-Table3[[#This Row],[Price 
Bought]])/Table3[[#This Row],[Price 
Bought]]</f>
        <v>1.6383561941176472</v>
      </c>
      <c r="H134" s="31">
        <f>Table3[[#This Row],[Race 
earnings]]+Table3[[#This Row],[Price 
Sold]]-Table3[[#This Row],[Maintenance cost]]+Table3[[#This Row],[Total 
profit (Income - cost)]]</f>
        <v>224260.27650000001</v>
      </c>
      <c r="I134" s="3">
        <f>_xlfn.IFNA(VLOOKUP(Table3[[#This Row],[damId]],Sheet1!$A$2:$M$970,5, FALSE), VLOOKUP(Table3[[#This Row],[dam]],Sheet1!$B$2:$M$970,4, FALSE))</f>
        <v>0</v>
      </c>
      <c r="J134" s="3">
        <f>_xlfn.IFNA(VLOOKUP(Table3[[#This Row],[damId]],Sheet1!$A$2:$M$970,13, FALSE), VLOOKUP(Table3[[#This Row],[dam]],Sheet1!$B$2:$M$970,13, FALSE))</f>
        <v>-54000</v>
      </c>
      <c r="K134" s="3">
        <f>_xlfn.IFNA(VLOOKUP(Table3[[#This Row],[damId]],Sheet1!$A$2:$M$970,11, FALSE), VLOOKUP(Table3[[#This Row],[dam]],Sheet1!$B$2:$M$970,11, FALSE))</f>
        <v>85000</v>
      </c>
      <c r="L134" s="3">
        <f>_xlfn.IFNA(VLOOKUP(Table3[[#This Row],[damId]],Sheet1!$A$2:$M$970,12, FALSE), VLOOKUP(Table3[[#This Row],[dam]],Sheet1!$B$2:$M$970,12, FALSE))</f>
        <v>31000</v>
      </c>
      <c r="M134" s="3">
        <f>_xlfn.IFNA(VLOOKUP(Table3[[#This Row],[damId]],Sheet1!$A$2:$T$970,20, FALSE), VLOOKUP(Table3[[#This Row],[dam]],Sheet1!$B$2:$T$970,20, FALSE))*Sheet1!$AD$3</f>
        <v>13972.603500000001</v>
      </c>
      <c r="N134" s="3">
        <f>Table3[[#This Row],[Total 
income (Earnings + value - stud fee)]]-Table3[[#This Row],[Maintenance cost ]]</f>
        <v>207232.88</v>
      </c>
      <c r="O134" s="3">
        <f>SUM(Table3[[#This Row],[income1]:[income12]])</f>
        <v>230000</v>
      </c>
      <c r="P134" s="3">
        <f>_xlfn.IFNA(VLOOKUP(Table3[[#This Row],[damId]],Sheet1!$A$2:$Y$970,23, FALSE), VLOOKUP(Table3[[#This Row],[dam]],Sheet1!$B$2:$Y$970,23, FALSE))*Sheet1!$AD$3</f>
        <v>22767.119999999999</v>
      </c>
      <c r="Q134" s="3">
        <f>SUM(Table3[[#This Row],[earningsInRaces1]:[earningsInRaces12]])</f>
        <v>0</v>
      </c>
      <c r="R134" s="3">
        <f>SUM(Table3[[#This Row],[auctionPrice1]:[auctionPrice12]])</f>
        <v>230000</v>
      </c>
      <c r="S134" s="3">
        <f>SUM(Table3[[#This Row],[studFeeUSD1]:[studFeeUSD12]])</f>
        <v>0</v>
      </c>
      <c r="T134" s="7">
        <f>COUNT(Table3[[#This Row],[successfulService1]:[successfulService12]])</f>
        <v>1</v>
      </c>
      <c r="U134" s="7">
        <f>SUM(Table3[[#This Row],[successfulService1]:[successfulService12]])</f>
        <v>1</v>
      </c>
      <c r="V134" s="7">
        <f>SUM(Table3[[#This Row],[soldInAuction1]:[soldInAuction12]])</f>
        <v>1</v>
      </c>
      <c r="W134" s="7">
        <f>SUM(Table3[[#This Row],[foreignHorse1]:[foreignHorse12]])</f>
        <v>0</v>
      </c>
      <c r="X134" s="3">
        <v>230000</v>
      </c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>
        <v>0</v>
      </c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>
        <v>230000</v>
      </c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>
        <v>0</v>
      </c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1">
        <v>0</v>
      </c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>
        <v>1</v>
      </c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>
        <v>1</v>
      </c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>
        <v>0</v>
      </c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>
        <v>9</v>
      </c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</row>
    <row r="135" spans="1:131" x14ac:dyDescent="0.3">
      <c r="A135">
        <v>7454932</v>
      </c>
      <c r="B135" s="1" t="s">
        <v>163</v>
      </c>
      <c r="C135" s="1" t="s">
        <v>24</v>
      </c>
      <c r="D135" s="1">
        <v>2018</v>
      </c>
      <c r="E135" s="1">
        <v>7</v>
      </c>
      <c r="F135" s="10">
        <f>Table3[[#This Row],[First season 
with SF]]+Table3[[#This Row],['# Services 
provided]]</f>
        <v>8</v>
      </c>
      <c r="G135" s="26">
        <f>(Table3[[#This Row],[Total Income 
(Race + Price 
sold + Offs - maintenance cost)]]-Table3[[#This Row],[Price 
Bought]])/Table3[[#This Row],[Price 
Bought]]</f>
        <v>-0.47275494444444444</v>
      </c>
      <c r="H135" s="31">
        <f>Table3[[#This Row],[Race 
earnings]]+Table3[[#This Row],[Price 
Sold]]-Table3[[#This Row],[Maintenance cost]]+Table3[[#This Row],[Total 
profit (Income - cost)]]</f>
        <v>71178.082500000004</v>
      </c>
      <c r="I135" s="3">
        <f>_xlfn.IFNA(VLOOKUP(Table3[[#This Row],[damId]],Sheet1!$A$2:$M$970,5, FALSE), VLOOKUP(Table3[[#This Row],[dam]],Sheet1!$B$2:$M$970,4, FALSE))</f>
        <v>0</v>
      </c>
      <c r="J135" s="3">
        <f>_xlfn.IFNA(VLOOKUP(Table3[[#This Row],[damId]],Sheet1!$A$2:$M$970,13, FALSE), VLOOKUP(Table3[[#This Row],[dam]],Sheet1!$B$2:$M$970,13, FALSE))</f>
        <v>-111000</v>
      </c>
      <c r="K135" s="3">
        <f>_xlfn.IFNA(VLOOKUP(Table3[[#This Row],[damId]],Sheet1!$A$2:$M$970,11, FALSE), VLOOKUP(Table3[[#This Row],[dam]],Sheet1!$B$2:$M$970,11, FALSE))</f>
        <v>135000</v>
      </c>
      <c r="L135" s="3">
        <f>_xlfn.IFNA(VLOOKUP(Table3[[#This Row],[damId]],Sheet1!$A$2:$M$970,12, FALSE), VLOOKUP(Table3[[#This Row],[dam]],Sheet1!$B$2:$M$970,12, FALSE))</f>
        <v>24000</v>
      </c>
      <c r="M135" s="3">
        <f>_xlfn.IFNA(VLOOKUP(Table3[[#This Row],[damId]],Sheet1!$A$2:$T$970,20, FALSE), VLOOKUP(Table3[[#This Row],[dam]],Sheet1!$B$2:$T$970,20, FALSE))*Sheet1!$AD$3</f>
        <v>14917.807500000001</v>
      </c>
      <c r="N135" s="3">
        <f>Table3[[#This Row],[Total 
income (Earnings + value - stud fee)]]-Table3[[#This Row],[Maintenance cost ]]</f>
        <v>62095.89</v>
      </c>
      <c r="O135" s="3">
        <f>SUM(Table3[[#This Row],[income1]:[income12]])</f>
        <v>75000</v>
      </c>
      <c r="P135" s="3">
        <f>_xlfn.IFNA(VLOOKUP(Table3[[#This Row],[damId]],Sheet1!$A$2:$Y$970,23, FALSE), VLOOKUP(Table3[[#This Row],[dam]],Sheet1!$B$2:$Y$970,23, FALSE))*Sheet1!$AD$3</f>
        <v>12904.11</v>
      </c>
      <c r="Q135" s="3">
        <f>SUM(Table3[[#This Row],[earningsInRaces1]:[earningsInRaces12]])</f>
        <v>0</v>
      </c>
      <c r="R135" s="3">
        <f>SUM(Table3[[#This Row],[auctionPrice1]:[auctionPrice12]])</f>
        <v>75000</v>
      </c>
      <c r="S135" s="3">
        <f>SUM(Table3[[#This Row],[studFeeUSD1]:[studFeeUSD12]])</f>
        <v>0</v>
      </c>
      <c r="T135" s="7">
        <f>COUNT(Table3[[#This Row],[successfulService1]:[successfulService12]])</f>
        <v>1</v>
      </c>
      <c r="U135" s="7">
        <f>SUM(Table3[[#This Row],[successfulService1]:[successfulService12]])</f>
        <v>1</v>
      </c>
      <c r="V135" s="7">
        <f>SUM(Table3[[#This Row],[soldInAuction1]:[soldInAuction12]])</f>
        <v>1</v>
      </c>
      <c r="W135" s="7">
        <f>SUM(Table3[[#This Row],[foreignHorse1]:[foreignHorse12]])</f>
        <v>0</v>
      </c>
      <c r="X135" s="3">
        <v>75000</v>
      </c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>
        <v>0</v>
      </c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>
        <v>75000</v>
      </c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>
        <v>0</v>
      </c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1">
        <v>0</v>
      </c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>
        <v>1</v>
      </c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>
        <v>1</v>
      </c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>
        <v>0</v>
      </c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>
        <v>7</v>
      </c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</row>
    <row r="136" spans="1:131" x14ac:dyDescent="0.3">
      <c r="A136">
        <v>7704649</v>
      </c>
      <c r="B136" s="1" t="s">
        <v>191</v>
      </c>
      <c r="C136" s="1" t="s">
        <v>24</v>
      </c>
      <c r="D136" s="1">
        <v>2018</v>
      </c>
      <c r="E136" s="1">
        <v>6</v>
      </c>
      <c r="F136" s="10">
        <f>Table3[[#This Row],[First season 
with SF]]+Table3[[#This Row],['# Services 
provided]]</f>
        <v>14</v>
      </c>
      <c r="G136" s="26">
        <f>(Table3[[#This Row],[Total Income 
(Race + Price 
sold + Offs - maintenance cost)]]-Table3[[#This Row],[Price 
Bought]])/Table3[[#This Row],[Price 
Bought]]</f>
        <v>-0.95566443636363652</v>
      </c>
      <c r="H136" s="31">
        <f>Table3[[#This Row],[Race 
earnings]]+Table3[[#This Row],[Price 
Sold]]-Table3[[#This Row],[Maintenance cost]]+Table3[[#This Row],[Total 
profit (Income - cost)]]</f>
        <v>24384.559999999969</v>
      </c>
      <c r="I136" s="3">
        <f>_xlfn.IFNA(VLOOKUP(Table3[[#This Row],[damId]],Sheet1!$A$2:$M$970,5, FALSE), VLOOKUP(Table3[[#This Row],[dam]],Sheet1!$B$2:$M$970,4, FALSE))</f>
        <v>0</v>
      </c>
      <c r="J136" s="3">
        <f>_xlfn.IFNA(VLOOKUP(Table3[[#This Row],[damId]],Sheet1!$A$2:$M$970,13, FALSE), VLOOKUP(Table3[[#This Row],[dam]],Sheet1!$B$2:$M$970,13, FALSE))</f>
        <v>-550000</v>
      </c>
      <c r="K136" s="3">
        <f>_xlfn.IFNA(VLOOKUP(Table3[[#This Row],[damId]],Sheet1!$A$2:$M$970,11, FALSE), VLOOKUP(Table3[[#This Row],[dam]],Sheet1!$B$2:$M$970,11, FALSE))</f>
        <v>550000</v>
      </c>
      <c r="L136" s="3">
        <f>_xlfn.IFNA(VLOOKUP(Table3[[#This Row],[damId]],Sheet1!$A$2:$M$970,12, FALSE), VLOOKUP(Table3[[#This Row],[dam]],Sheet1!$B$2:$M$970,12, FALSE))</f>
        <v>0</v>
      </c>
      <c r="M136" s="3">
        <f>_xlfn.IFNA(VLOOKUP(Table3[[#This Row],[damId]],Sheet1!$A$2:$T$970,20, FALSE), VLOOKUP(Table3[[#This Row],[dam]],Sheet1!$B$2:$T$970,20, FALSE))*Sheet1!$AD$3</f>
        <v>109273.98000000001</v>
      </c>
      <c r="N136" s="3">
        <f>Table3[[#This Row],[Total 
income (Earnings + value - stud fee)]]-Table3[[#This Row],[Maintenance cost ]]</f>
        <v>133658.53999999998</v>
      </c>
      <c r="O136" s="3">
        <f>SUM(Table3[[#This Row],[income1]:[income12]])</f>
        <v>226740.74</v>
      </c>
      <c r="P136" s="3">
        <f>_xlfn.IFNA(VLOOKUP(Table3[[#This Row],[damId]],Sheet1!$A$2:$Y$970,23, FALSE), VLOOKUP(Table3[[#This Row],[dam]],Sheet1!$B$2:$Y$970,23, FALSE))*Sheet1!$AD$3</f>
        <v>93082.2</v>
      </c>
      <c r="Q136" s="3">
        <f>SUM(Table3[[#This Row],[earningsInRaces1]:[earningsInRaces12]])</f>
        <v>0</v>
      </c>
      <c r="R136" s="3">
        <f>SUM(Table3[[#This Row],[auctionPrice1]:[auctionPrice12]])</f>
        <v>642000</v>
      </c>
      <c r="S136" s="3">
        <f>SUM(Table3[[#This Row],[studFeeUSD1]:[studFeeUSD12]])</f>
        <v>-415259.26</v>
      </c>
      <c r="T136" s="7">
        <f>COUNT(Table3[[#This Row],[successfulService1]:[successfulService12]])</f>
        <v>8</v>
      </c>
      <c r="U136" s="7">
        <f>SUM(Table3[[#This Row],[successfulService1]:[successfulService12]])</f>
        <v>6</v>
      </c>
      <c r="V136" s="7">
        <f>SUM(Table3[[#This Row],[soldInAuction1]:[soldInAuction12]])</f>
        <v>5</v>
      </c>
      <c r="W136" s="7">
        <f>SUM(Table3[[#This Row],[foreignHorse1]:[foreignHorse12]])</f>
        <v>0</v>
      </c>
      <c r="X136" s="3">
        <v>15000</v>
      </c>
      <c r="Y136" s="3">
        <v>15000</v>
      </c>
      <c r="Z136" s="3">
        <v>-75259.259999999995</v>
      </c>
      <c r="AA136" s="3">
        <v>230000</v>
      </c>
      <c r="AB136" s="3">
        <v>-3000</v>
      </c>
      <c r="AC136" s="3">
        <v>140000</v>
      </c>
      <c r="AD136" s="3">
        <v>-60000</v>
      </c>
      <c r="AE136" s="3">
        <v>-35000</v>
      </c>
      <c r="AF136" s="3"/>
      <c r="AG136" s="3"/>
      <c r="AH136" s="3"/>
      <c r="AI136" s="3"/>
      <c r="AJ136" s="3">
        <v>0</v>
      </c>
      <c r="AK136" s="3">
        <v>0</v>
      </c>
      <c r="AL136" s="3"/>
      <c r="AM136" s="3">
        <v>0</v>
      </c>
      <c r="AN136" s="3">
        <v>0</v>
      </c>
      <c r="AO136" s="3"/>
      <c r="AP136" s="3"/>
      <c r="AQ136" s="3"/>
      <c r="AR136" s="3"/>
      <c r="AS136" s="3"/>
      <c r="AT136" s="3"/>
      <c r="AU136" s="3"/>
      <c r="AV136" s="3">
        <v>15000</v>
      </c>
      <c r="AW136" s="3">
        <v>100000</v>
      </c>
      <c r="AX136" s="3"/>
      <c r="AY136" s="3">
        <v>300000</v>
      </c>
      <c r="AZ136" s="3">
        <v>37000</v>
      </c>
      <c r="BA136" s="3">
        <v>190000</v>
      </c>
      <c r="BB136" s="3"/>
      <c r="BC136" s="3"/>
      <c r="BD136" s="3"/>
      <c r="BE136" s="3"/>
      <c r="BF136" s="3"/>
      <c r="BG136" s="3"/>
      <c r="BH136" s="3">
        <v>0</v>
      </c>
      <c r="BI136" s="3">
        <v>-85000</v>
      </c>
      <c r="BJ136" s="3">
        <v>-75259.259999999995</v>
      </c>
      <c r="BK136" s="3">
        <v>-70000</v>
      </c>
      <c r="BL136" s="3">
        <v>-40000</v>
      </c>
      <c r="BM136" s="3">
        <v>-50000</v>
      </c>
      <c r="BN136" s="3">
        <v>-60000</v>
      </c>
      <c r="BO136" s="3">
        <v>-35000</v>
      </c>
      <c r="BP136" s="3"/>
      <c r="BQ136" s="3"/>
      <c r="BR136" s="3"/>
      <c r="BS136" s="3"/>
      <c r="BT136" s="1">
        <v>0</v>
      </c>
      <c r="BU136" s="1">
        <v>0</v>
      </c>
      <c r="BV136" s="1"/>
      <c r="BW136" s="1">
        <v>0</v>
      </c>
      <c r="BX136" s="1">
        <v>0</v>
      </c>
      <c r="BY136" s="1"/>
      <c r="BZ136" s="1"/>
      <c r="CA136" s="1"/>
      <c r="CB136" s="1"/>
      <c r="CC136" s="1"/>
      <c r="CD136" s="1"/>
      <c r="CE136" s="1"/>
      <c r="CF136" s="1">
        <v>1</v>
      </c>
      <c r="CG136" s="1">
        <v>1</v>
      </c>
      <c r="CH136" s="1">
        <v>0</v>
      </c>
      <c r="CI136" s="1">
        <v>1</v>
      </c>
      <c r="CJ136" s="1">
        <v>1</v>
      </c>
      <c r="CK136" s="1">
        <v>1</v>
      </c>
      <c r="CL136" s="1">
        <v>1</v>
      </c>
      <c r="CM136" s="1">
        <v>0</v>
      </c>
      <c r="CN136" s="1"/>
      <c r="CO136" s="1"/>
      <c r="CP136" s="1"/>
      <c r="CQ136" s="1"/>
      <c r="CR136" s="1">
        <v>1</v>
      </c>
      <c r="CS136" s="1">
        <v>1</v>
      </c>
      <c r="CT136" s="1">
        <v>0</v>
      </c>
      <c r="CU136" s="1">
        <v>1</v>
      </c>
      <c r="CV136" s="1">
        <v>1</v>
      </c>
      <c r="CW136" s="1">
        <v>1</v>
      </c>
      <c r="CX136" s="1">
        <v>0</v>
      </c>
      <c r="CY136" s="1">
        <v>0</v>
      </c>
      <c r="CZ136" s="1"/>
      <c r="DA136" s="1"/>
      <c r="DB136" s="1"/>
      <c r="DC136" s="1"/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/>
      <c r="DM136" s="1"/>
      <c r="DN136" s="1"/>
      <c r="DO136" s="1"/>
      <c r="DP136" s="1">
        <v>6</v>
      </c>
      <c r="DQ136" s="1">
        <v>7</v>
      </c>
      <c r="DR136" s="1">
        <v>8</v>
      </c>
      <c r="DS136" s="1">
        <v>9</v>
      </c>
      <c r="DT136" s="1">
        <v>10</v>
      </c>
      <c r="DU136" s="1">
        <v>11</v>
      </c>
      <c r="DV136" s="1">
        <v>12</v>
      </c>
      <c r="DW136" s="1">
        <v>13</v>
      </c>
      <c r="DX136" s="1"/>
      <c r="DY136" s="1"/>
      <c r="DZ136" s="1"/>
      <c r="EA136" s="1"/>
    </row>
    <row r="137" spans="1:131" x14ac:dyDescent="0.3">
      <c r="A137">
        <v>7749761</v>
      </c>
      <c r="B137" s="1" t="s">
        <v>203</v>
      </c>
      <c r="C137" s="1" t="s">
        <v>24</v>
      </c>
      <c r="D137" s="1">
        <v>2018</v>
      </c>
      <c r="E137" s="1">
        <v>8</v>
      </c>
      <c r="F137" s="10">
        <f>Table3[[#This Row],[First season 
with SF]]+Table3[[#This Row],['# Services 
provided]]</f>
        <v>14</v>
      </c>
      <c r="G137" s="26">
        <f>(Table3[[#This Row],[Total Income 
(Race + Price 
sold + Offs - maintenance cost)]]-Table3[[#This Row],[Price 
Bought]])/Table3[[#This Row],[Price 
Bought]]</f>
        <v>-3.4189066666666573E-2</v>
      </c>
      <c r="H137" s="31">
        <f>Table3[[#This Row],[Race 
earnings]]+Table3[[#This Row],[Price 
Sold]]-Table3[[#This Row],[Maintenance cost]]+Table3[[#This Row],[Total 
profit (Income - cost)]]</f>
        <v>434614.92000000004</v>
      </c>
      <c r="I137" s="3">
        <f>_xlfn.IFNA(VLOOKUP(Table3[[#This Row],[damId]],Sheet1!$A$2:$M$970,5, FALSE), VLOOKUP(Table3[[#This Row],[dam]],Sheet1!$B$2:$M$970,4, FALSE))</f>
        <v>0</v>
      </c>
      <c r="J137" s="3">
        <f>_xlfn.IFNA(VLOOKUP(Table3[[#This Row],[damId]],Sheet1!$A$2:$M$970,13, FALSE), VLOOKUP(Table3[[#This Row],[dam]],Sheet1!$B$2:$M$970,13, FALSE))</f>
        <v>-450000</v>
      </c>
      <c r="K137" s="3">
        <f>_xlfn.IFNA(VLOOKUP(Table3[[#This Row],[damId]],Sheet1!$A$2:$M$970,11, FALSE), VLOOKUP(Table3[[#This Row],[dam]],Sheet1!$B$2:$M$970,11, FALSE))</f>
        <v>450000</v>
      </c>
      <c r="L137" s="3">
        <f>_xlfn.IFNA(VLOOKUP(Table3[[#This Row],[damId]],Sheet1!$A$2:$M$970,12, FALSE), VLOOKUP(Table3[[#This Row],[dam]],Sheet1!$B$2:$M$970,12, FALSE))</f>
        <v>0</v>
      </c>
      <c r="M137" s="3">
        <f>_xlfn.IFNA(VLOOKUP(Table3[[#This Row],[damId]],Sheet1!$A$2:$T$970,20, FALSE), VLOOKUP(Table3[[#This Row],[dam]],Sheet1!$B$2:$T$970,20, FALSE))*Sheet1!$AD$3</f>
        <v>109273.98000000001</v>
      </c>
      <c r="N137" s="3">
        <f>Table3[[#This Row],[Total 
income (Earnings + value - stud fee)]]-Table3[[#This Row],[Maintenance cost ]]</f>
        <v>543888.9</v>
      </c>
      <c r="O137" s="3">
        <f>SUM(Table3[[#This Row],[income1]:[income12]])</f>
        <v>543888.9</v>
      </c>
      <c r="P137" s="3">
        <f>_xlfn.IFNA(VLOOKUP(Table3[[#This Row],[damId]],Sheet1!$A$2:$Y$970,23, FALSE), VLOOKUP(Table3[[#This Row],[dam]],Sheet1!$B$2:$Y$970,23, FALSE))*Sheet1!$AD$3</f>
        <v>0</v>
      </c>
      <c r="Q137" s="3">
        <f>SUM(Table3[[#This Row],[earningsInRaces1]:[earningsInRaces12]])</f>
        <v>0</v>
      </c>
      <c r="R137" s="3">
        <f>SUM(Table3[[#This Row],[auctionPrice1]:[auctionPrice12]])</f>
        <v>1100000</v>
      </c>
      <c r="S137" s="3">
        <f>SUM(Table3[[#This Row],[studFeeUSD1]:[studFeeUSD12]])</f>
        <v>-556111.1</v>
      </c>
      <c r="T137" s="7">
        <f>COUNT(Table3[[#This Row],[successfulService1]:[successfulService12]])</f>
        <v>6</v>
      </c>
      <c r="U137" s="7">
        <f>SUM(Table3[[#This Row],[successfulService1]:[successfulService12]])</f>
        <v>4</v>
      </c>
      <c r="V137" s="7">
        <f>SUM(Table3[[#This Row],[soldInAuction1]:[soldInAuction12]])</f>
        <v>1</v>
      </c>
      <c r="W137" s="7">
        <f>SUM(Table3[[#This Row],[foreignHorse1]:[foreignHorse12]])</f>
        <v>0</v>
      </c>
      <c r="X137" s="3">
        <v>1100000</v>
      </c>
      <c r="Y137" s="3">
        <v>-110000</v>
      </c>
      <c r="Z137" s="3">
        <v>-141111.1</v>
      </c>
      <c r="AA137" s="3">
        <v>-175000</v>
      </c>
      <c r="AB137" s="3">
        <v>-75000</v>
      </c>
      <c r="AC137" s="3">
        <v>-55000</v>
      </c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>
        <v>1100000</v>
      </c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>
        <v>0</v>
      </c>
      <c r="BI137" s="3">
        <v>-110000</v>
      </c>
      <c r="BJ137" s="3">
        <v>-141111.1</v>
      </c>
      <c r="BK137" s="3">
        <v>-175000</v>
      </c>
      <c r="BL137" s="3">
        <v>-75000</v>
      </c>
      <c r="BM137" s="3">
        <v>-55000</v>
      </c>
      <c r="BN137" s="3"/>
      <c r="BO137" s="3"/>
      <c r="BP137" s="3"/>
      <c r="BQ137" s="3"/>
      <c r="BR137" s="3"/>
      <c r="BS137" s="3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>
        <v>1</v>
      </c>
      <c r="CG137" s="1">
        <v>1</v>
      </c>
      <c r="CH137" s="1">
        <v>1</v>
      </c>
      <c r="CI137" s="1">
        <v>0</v>
      </c>
      <c r="CJ137" s="1">
        <v>0</v>
      </c>
      <c r="CK137" s="1">
        <v>1</v>
      </c>
      <c r="CL137" s="1"/>
      <c r="CM137" s="1"/>
      <c r="CN137" s="1"/>
      <c r="CO137" s="1"/>
      <c r="CP137" s="1"/>
      <c r="CQ137" s="1"/>
      <c r="CR137" s="1">
        <v>1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/>
      <c r="CY137" s="1"/>
      <c r="CZ137" s="1"/>
      <c r="DA137" s="1"/>
      <c r="DB137" s="1"/>
      <c r="DC137" s="1"/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/>
      <c r="DK137" s="1"/>
      <c r="DL137" s="1"/>
      <c r="DM137" s="1"/>
      <c r="DN137" s="1"/>
      <c r="DO137" s="1"/>
      <c r="DP137" s="1">
        <v>8</v>
      </c>
      <c r="DQ137" s="1">
        <v>9</v>
      </c>
      <c r="DR137" s="1">
        <v>10</v>
      </c>
      <c r="DS137" s="1">
        <v>11</v>
      </c>
      <c r="DT137" s="1">
        <v>12</v>
      </c>
      <c r="DU137" s="1">
        <v>14</v>
      </c>
      <c r="DV137" s="1"/>
      <c r="DW137" s="1"/>
      <c r="DX137" s="1"/>
      <c r="DY137" s="1"/>
      <c r="DZ137" s="1"/>
      <c r="EA137" s="1"/>
    </row>
    <row r="138" spans="1:131" x14ac:dyDescent="0.3">
      <c r="A138">
        <v>7780067</v>
      </c>
      <c r="B138" s="1" t="s">
        <v>213</v>
      </c>
      <c r="C138" s="1" t="s">
        <v>24</v>
      </c>
      <c r="D138" s="1">
        <v>2018</v>
      </c>
      <c r="E138" s="1">
        <v>8</v>
      </c>
      <c r="F138" s="10">
        <f>Table3[[#This Row],[First season 
with SF]]+Table3[[#This Row],['# Services 
provided]]</f>
        <v>9</v>
      </c>
      <c r="G138" s="26">
        <f>(Table3[[#This Row],[Total Income 
(Race + Price 
sold + Offs - maintenance cost)]]-Table3[[#This Row],[Price 
Bought]])/Table3[[#This Row],[Price 
Bought]]</f>
        <v>1.1733845108695653</v>
      </c>
      <c r="H138" s="31">
        <f>Table3[[#This Row],[Race 
earnings]]+Table3[[#This Row],[Price 
Sold]]-Table3[[#This Row],[Maintenance cost]]+Table3[[#This Row],[Total 
profit (Income - cost)]]</f>
        <v>199951.375</v>
      </c>
      <c r="I138" s="3">
        <f>_xlfn.IFNA(VLOOKUP(Table3[[#This Row],[damId]],Sheet1!$A$2:$M$970,5, FALSE), VLOOKUP(Table3[[#This Row],[dam]],Sheet1!$B$2:$M$970,4, FALSE))</f>
        <v>0</v>
      </c>
      <c r="J138" s="3">
        <f>_xlfn.IFNA(VLOOKUP(Table3[[#This Row],[damId]],Sheet1!$A$2:$M$970,13, FALSE), VLOOKUP(Table3[[#This Row],[dam]],Sheet1!$B$2:$M$970,13, FALSE))</f>
        <v>-50000</v>
      </c>
      <c r="K138" s="3">
        <f>_xlfn.IFNA(VLOOKUP(Table3[[#This Row],[damId]],Sheet1!$A$2:$M$970,11, FALSE), VLOOKUP(Table3[[#This Row],[dam]],Sheet1!$B$2:$M$970,11, FALSE))</f>
        <v>92000</v>
      </c>
      <c r="L138" s="3">
        <f>_xlfn.IFNA(VLOOKUP(Table3[[#This Row],[damId]],Sheet1!$A$2:$M$970,12, FALSE), VLOOKUP(Table3[[#This Row],[dam]],Sheet1!$B$2:$M$970,12, FALSE))</f>
        <v>42000</v>
      </c>
      <c r="M138" s="3">
        <f>_xlfn.IFNA(VLOOKUP(Table3[[#This Row],[damId]],Sheet1!$A$2:$T$970,20, FALSE), VLOOKUP(Table3[[#This Row],[dam]],Sheet1!$B$2:$T$970,20, FALSE))*Sheet1!$AD$3</f>
        <v>15082.184999999999</v>
      </c>
      <c r="N138" s="3">
        <f>Table3[[#This Row],[Total 
income (Earnings + value - stud fee)]]-Table3[[#This Row],[Maintenance cost ]]</f>
        <v>173033.56</v>
      </c>
      <c r="O138" s="3">
        <f>SUM(Table3[[#This Row],[income1]:[income12]])</f>
        <v>221650</v>
      </c>
      <c r="P138" s="3">
        <f>_xlfn.IFNA(VLOOKUP(Table3[[#This Row],[damId]],Sheet1!$A$2:$Y$970,23, FALSE), VLOOKUP(Table3[[#This Row],[dam]],Sheet1!$B$2:$Y$970,23, FALSE))*Sheet1!$AD$3</f>
        <v>48616.44</v>
      </c>
      <c r="Q138" s="3">
        <f>SUM(Table3[[#This Row],[earningsInRaces1]:[earningsInRaces12]])</f>
        <v>21650</v>
      </c>
      <c r="R138" s="3">
        <f>SUM(Table3[[#This Row],[auctionPrice1]:[auctionPrice12]])</f>
        <v>200000</v>
      </c>
      <c r="S138" s="3">
        <f>SUM(Table3[[#This Row],[studFeeUSD1]:[studFeeUSD12]])</f>
        <v>0</v>
      </c>
      <c r="T138" s="7">
        <f>COUNT(Table3[[#This Row],[successfulService1]:[successfulService12]])</f>
        <v>1</v>
      </c>
      <c r="U138" s="7">
        <f>SUM(Table3[[#This Row],[successfulService1]:[successfulService12]])</f>
        <v>1</v>
      </c>
      <c r="V138" s="7">
        <f>SUM(Table3[[#This Row],[soldInAuction1]:[soldInAuction12]])</f>
        <v>1</v>
      </c>
      <c r="W138" s="7">
        <f>SUM(Table3[[#This Row],[foreignHorse1]:[foreignHorse12]])</f>
        <v>0</v>
      </c>
      <c r="X138" s="3">
        <v>221650</v>
      </c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>
        <v>21650</v>
      </c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>
        <v>200000</v>
      </c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>
        <v>0</v>
      </c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1">
        <v>1</v>
      </c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>
        <v>1</v>
      </c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>
        <v>1</v>
      </c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>
        <v>0</v>
      </c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>
        <v>8</v>
      </c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</row>
    <row r="139" spans="1:131" x14ac:dyDescent="0.3">
      <c r="A139">
        <v>8037393</v>
      </c>
      <c r="B139" s="1" t="s">
        <v>234</v>
      </c>
      <c r="C139" s="1" t="s">
        <v>24</v>
      </c>
      <c r="D139" s="1">
        <v>2018</v>
      </c>
      <c r="E139" s="1">
        <v>8</v>
      </c>
      <c r="F139" s="10">
        <f>Table3[[#This Row],[First season 
with SF]]+Table3[[#This Row],['# Services 
provided]]</f>
        <v>16</v>
      </c>
      <c r="G139" s="26">
        <f>(Table3[[#This Row],[Total Income 
(Race + Price 
sold + Offs - maintenance cost)]]-Table3[[#This Row],[Price 
Bought]])/Table3[[#This Row],[Price 
Bought]]</f>
        <v>2.3387390370370378</v>
      </c>
      <c r="H139" s="31">
        <f>Table3[[#This Row],[Race 
earnings]]+Table3[[#This Row],[Price 
Sold]]-Table3[[#This Row],[Maintenance cost]]+Table3[[#This Row],[Total 
profit (Income - cost)]]</f>
        <v>450729.77000000008</v>
      </c>
      <c r="I139" s="3">
        <f>_xlfn.IFNA(VLOOKUP(Table3[[#This Row],[damId]],Sheet1!$A$2:$M$970,5, FALSE), VLOOKUP(Table3[[#This Row],[dam]],Sheet1!$B$2:$M$970,4, FALSE))</f>
        <v>0</v>
      </c>
      <c r="J139" s="3">
        <f>_xlfn.IFNA(VLOOKUP(Table3[[#This Row],[damId]],Sheet1!$A$2:$M$970,13, FALSE), VLOOKUP(Table3[[#This Row],[dam]],Sheet1!$B$2:$M$970,13, FALSE))</f>
        <v>-135000</v>
      </c>
      <c r="K139" s="3">
        <f>_xlfn.IFNA(VLOOKUP(Table3[[#This Row],[damId]],Sheet1!$A$2:$M$970,11, FALSE), VLOOKUP(Table3[[#This Row],[dam]],Sheet1!$B$2:$M$970,11, FALSE))</f>
        <v>135000</v>
      </c>
      <c r="L139" s="3">
        <f>_xlfn.IFNA(VLOOKUP(Table3[[#This Row],[damId]],Sheet1!$A$2:$M$970,12, FALSE), VLOOKUP(Table3[[#This Row],[dam]],Sheet1!$B$2:$M$970,12, FALSE))</f>
        <v>0</v>
      </c>
      <c r="M139" s="3">
        <f>_xlfn.IFNA(VLOOKUP(Table3[[#This Row],[damId]],Sheet1!$A$2:$T$970,20, FALSE), VLOOKUP(Table3[[#This Row],[dam]],Sheet1!$B$2:$T$970,20, FALSE))*Sheet1!$AD$3</f>
        <v>109150.68</v>
      </c>
      <c r="N139" s="3">
        <f>Table3[[#This Row],[Total 
income (Earnings + value - stud fee)]]-Table3[[#This Row],[Maintenance cost ]]</f>
        <v>559880.45000000007</v>
      </c>
      <c r="O139" s="3">
        <f>SUM(Table3[[#This Row],[income1]:[income12]])</f>
        <v>770907.8</v>
      </c>
      <c r="P139" s="3">
        <f>_xlfn.IFNA(VLOOKUP(Table3[[#This Row],[damId]],Sheet1!$A$2:$Y$970,23, FALSE), VLOOKUP(Table3[[#This Row],[dam]],Sheet1!$B$2:$Y$970,23, FALSE))*Sheet1!$AD$3</f>
        <v>211027.35</v>
      </c>
      <c r="Q139" s="3">
        <f>SUM(Table3[[#This Row],[earningsInRaces1]:[earningsInRaces12]])</f>
        <v>52250</v>
      </c>
      <c r="R139" s="3">
        <f>SUM(Table3[[#This Row],[auctionPrice1]:[auctionPrice12]])</f>
        <v>1923843</v>
      </c>
      <c r="S139" s="3">
        <f>SUM(Table3[[#This Row],[studFeeUSD1]:[studFeeUSD12]])</f>
        <v>-1205185.2</v>
      </c>
      <c r="T139" s="7">
        <f>COUNT(Table3[[#This Row],[successfulService1]:[successfulService12]])</f>
        <v>8</v>
      </c>
      <c r="U139" s="7">
        <f>SUM(Table3[[#This Row],[successfulService1]:[successfulService12]])</f>
        <v>6</v>
      </c>
      <c r="V139" s="7">
        <f>SUM(Table3[[#This Row],[soldInAuction1]:[soldInAuction12]])</f>
        <v>4</v>
      </c>
      <c r="W139" s="7">
        <f>SUM(Table3[[#This Row],[foreignHorse1]:[foreignHorse12]])</f>
        <v>0</v>
      </c>
      <c r="X139" s="3">
        <v>900000</v>
      </c>
      <c r="Y139" s="3">
        <v>192250</v>
      </c>
      <c r="Z139" s="3">
        <v>-171342.2</v>
      </c>
      <c r="AA139" s="3">
        <v>-250000</v>
      </c>
      <c r="AB139" s="3">
        <v>650000</v>
      </c>
      <c r="AC139" s="3">
        <v>-150000</v>
      </c>
      <c r="AD139" s="3">
        <v>-200000</v>
      </c>
      <c r="AE139" s="3">
        <v>-200000</v>
      </c>
      <c r="AF139" s="3"/>
      <c r="AG139" s="3"/>
      <c r="AH139" s="3"/>
      <c r="AI139" s="3"/>
      <c r="AJ139" s="3">
        <v>0</v>
      </c>
      <c r="AK139" s="3">
        <v>52250</v>
      </c>
      <c r="AL139" s="3">
        <v>0</v>
      </c>
      <c r="AM139" s="3"/>
      <c r="AN139" s="3">
        <v>0</v>
      </c>
      <c r="AO139" s="3"/>
      <c r="AP139" s="3"/>
      <c r="AQ139" s="3"/>
      <c r="AR139" s="3"/>
      <c r="AS139" s="3"/>
      <c r="AT139" s="3"/>
      <c r="AU139" s="3"/>
      <c r="AV139" s="3">
        <v>900000</v>
      </c>
      <c r="AW139" s="3">
        <v>160000</v>
      </c>
      <c r="AX139" s="3">
        <v>63843</v>
      </c>
      <c r="AY139" s="3"/>
      <c r="AZ139" s="3">
        <v>800000</v>
      </c>
      <c r="BA139" s="3"/>
      <c r="BB139" s="3"/>
      <c r="BC139" s="3"/>
      <c r="BD139" s="3"/>
      <c r="BE139" s="3"/>
      <c r="BF139" s="3"/>
      <c r="BG139" s="3"/>
      <c r="BH139" s="3">
        <v>0</v>
      </c>
      <c r="BI139" s="3">
        <v>-20000</v>
      </c>
      <c r="BJ139" s="3">
        <v>-235185.2</v>
      </c>
      <c r="BK139" s="3">
        <v>-250000</v>
      </c>
      <c r="BL139" s="3">
        <v>-150000</v>
      </c>
      <c r="BM139" s="3">
        <v>-150000</v>
      </c>
      <c r="BN139" s="3">
        <v>-200000</v>
      </c>
      <c r="BO139" s="3">
        <v>-200000</v>
      </c>
      <c r="BP139" s="3"/>
      <c r="BQ139" s="3"/>
      <c r="BR139" s="3"/>
      <c r="BS139" s="3"/>
      <c r="BT139" s="1">
        <v>0</v>
      </c>
      <c r="BU139" s="1">
        <v>1</v>
      </c>
      <c r="BV139" s="1">
        <v>0</v>
      </c>
      <c r="BW139" s="1"/>
      <c r="BX139" s="1">
        <v>0</v>
      </c>
      <c r="BY139" s="1"/>
      <c r="BZ139" s="1"/>
      <c r="CA139" s="1"/>
      <c r="CB139" s="1"/>
      <c r="CC139" s="1"/>
      <c r="CD139" s="1"/>
      <c r="CE139" s="1"/>
      <c r="CF139" s="1">
        <v>1</v>
      </c>
      <c r="CG139" s="1">
        <v>1</v>
      </c>
      <c r="CH139" s="1">
        <v>1</v>
      </c>
      <c r="CI139" s="1">
        <v>0</v>
      </c>
      <c r="CJ139" s="1">
        <v>1</v>
      </c>
      <c r="CK139" s="1">
        <v>1</v>
      </c>
      <c r="CL139" s="1">
        <v>1</v>
      </c>
      <c r="CM139" s="1">
        <v>0</v>
      </c>
      <c r="CN139" s="1"/>
      <c r="CO139" s="1"/>
      <c r="CP139" s="1"/>
      <c r="CQ139" s="1"/>
      <c r="CR139" s="1">
        <v>1</v>
      </c>
      <c r="CS139" s="1">
        <v>1</v>
      </c>
      <c r="CT139" s="1">
        <v>1</v>
      </c>
      <c r="CU139" s="1">
        <v>0</v>
      </c>
      <c r="CV139" s="1">
        <v>1</v>
      </c>
      <c r="CW139" s="1">
        <v>0</v>
      </c>
      <c r="CX139" s="1">
        <v>0</v>
      </c>
      <c r="CY139" s="1">
        <v>0</v>
      </c>
      <c r="CZ139" s="1"/>
      <c r="DA139" s="1"/>
      <c r="DB139" s="1"/>
      <c r="DC139" s="1"/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/>
      <c r="DM139" s="1"/>
      <c r="DN139" s="1"/>
      <c r="DO139" s="1"/>
      <c r="DP139" s="1">
        <v>8</v>
      </c>
      <c r="DQ139" s="1">
        <v>9</v>
      </c>
      <c r="DR139" s="1">
        <v>10</v>
      </c>
      <c r="DS139" s="1">
        <v>11</v>
      </c>
      <c r="DT139" s="1">
        <v>12</v>
      </c>
      <c r="DU139" s="1">
        <v>13</v>
      </c>
      <c r="DV139" s="1">
        <v>14</v>
      </c>
      <c r="DW139" s="1">
        <v>15</v>
      </c>
      <c r="DX139" s="1"/>
      <c r="DY139" s="1"/>
      <c r="DZ139" s="1"/>
      <c r="EA139" s="1"/>
    </row>
    <row r="140" spans="1:131" x14ac:dyDescent="0.3">
      <c r="A140">
        <v>8089164</v>
      </c>
      <c r="B140" s="1" t="s">
        <v>248</v>
      </c>
      <c r="C140" s="1" t="s">
        <v>24</v>
      </c>
      <c r="D140" s="1">
        <v>2018</v>
      </c>
      <c r="E140" s="1">
        <v>6</v>
      </c>
      <c r="F140" s="10">
        <f>Table3[[#This Row],[First season 
with SF]]+Table3[[#This Row],['# Services 
provided]]</f>
        <v>7</v>
      </c>
      <c r="G140" s="26">
        <f>(Table3[[#This Row],[Total Income 
(Race + Price 
sold + Offs - maintenance cost)]]-Table3[[#This Row],[Price 
Bought]])/Table3[[#This Row],[Price 
Bought]]</f>
        <v>-0.18227483333333352</v>
      </c>
      <c r="H140" s="31">
        <f>Table3[[#This Row],[Race 
earnings]]+Table3[[#This Row],[Price 
Sold]]-Table3[[#This Row],[Maintenance cost]]+Table3[[#This Row],[Total 
profit (Income - cost)]]</f>
        <v>269849.30499999993</v>
      </c>
      <c r="I140" s="3">
        <f>_xlfn.IFNA(VLOOKUP(Table3[[#This Row],[damId]],Sheet1!$A$2:$M$970,5, FALSE), VLOOKUP(Table3[[#This Row],[dam]],Sheet1!$B$2:$M$970,4, FALSE))</f>
        <v>0</v>
      </c>
      <c r="J140" s="3">
        <f>_xlfn.IFNA(VLOOKUP(Table3[[#This Row],[damId]],Sheet1!$A$2:$M$970,13, FALSE), VLOOKUP(Table3[[#This Row],[dam]],Sheet1!$B$2:$M$970,13, FALSE))</f>
        <v>-330000</v>
      </c>
      <c r="K140" s="3">
        <f>_xlfn.IFNA(VLOOKUP(Table3[[#This Row],[damId]],Sheet1!$A$2:$M$970,11, FALSE), VLOOKUP(Table3[[#This Row],[dam]],Sheet1!$B$2:$M$970,11, FALSE))</f>
        <v>330000</v>
      </c>
      <c r="L140" s="3">
        <f>_xlfn.IFNA(VLOOKUP(Table3[[#This Row],[damId]],Sheet1!$A$2:$M$970,12, FALSE), VLOOKUP(Table3[[#This Row],[dam]],Sheet1!$B$2:$M$970,12, FALSE))</f>
        <v>0</v>
      </c>
      <c r="M140" s="3">
        <f>_xlfn.IFNA(VLOOKUP(Table3[[#This Row],[damId]],Sheet1!$A$2:$T$970,20, FALSE), VLOOKUP(Table3[[#This Row],[dam]],Sheet1!$B$2:$T$970,20, FALSE))*Sheet1!$AD$3</f>
        <v>109273.98000000001</v>
      </c>
      <c r="N140" s="3">
        <f>Table3[[#This Row],[Total 
income (Earnings + value - stud fee)]]-Table3[[#This Row],[Maintenance cost ]]</f>
        <v>379123.28499999997</v>
      </c>
      <c r="O140" s="3">
        <f>SUM(Table3[[#This Row],[income1]:[income12]])</f>
        <v>400000</v>
      </c>
      <c r="P140" s="3">
        <f>_xlfn.IFNA(VLOOKUP(Table3[[#This Row],[damId]],Sheet1!$A$2:$Y$970,23, FALSE), VLOOKUP(Table3[[#This Row],[dam]],Sheet1!$B$2:$Y$970,23, FALSE))*Sheet1!$AD$3</f>
        <v>20876.715</v>
      </c>
      <c r="Q140" s="3">
        <f>SUM(Table3[[#This Row],[earningsInRaces1]:[earningsInRaces12]])</f>
        <v>0</v>
      </c>
      <c r="R140" s="3">
        <f>SUM(Table3[[#This Row],[auctionPrice1]:[auctionPrice12]])</f>
        <v>400000</v>
      </c>
      <c r="S140" s="3">
        <f>SUM(Table3[[#This Row],[studFeeUSD1]:[studFeeUSD12]])</f>
        <v>0</v>
      </c>
      <c r="T140" s="7">
        <f>COUNT(Table3[[#This Row],[successfulService1]:[successfulService12]])</f>
        <v>1</v>
      </c>
      <c r="U140" s="7">
        <f>SUM(Table3[[#This Row],[successfulService1]:[successfulService12]])</f>
        <v>1</v>
      </c>
      <c r="V140" s="7">
        <f>SUM(Table3[[#This Row],[soldInAuction1]:[soldInAuction12]])</f>
        <v>1</v>
      </c>
      <c r="W140" s="7">
        <f>SUM(Table3[[#This Row],[foreignHorse1]:[foreignHorse12]])</f>
        <v>0</v>
      </c>
      <c r="X140" s="3">
        <v>400000</v>
      </c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>
        <v>0</v>
      </c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>
        <v>400000</v>
      </c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>
        <v>0</v>
      </c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1">
        <v>0</v>
      </c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>
        <v>1</v>
      </c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>
        <v>1</v>
      </c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>
        <v>0</v>
      </c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>
        <v>6</v>
      </c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</row>
    <row r="141" spans="1:131" x14ac:dyDescent="0.3">
      <c r="A141">
        <v>8310254</v>
      </c>
      <c r="B141" s="1" t="s">
        <v>266</v>
      </c>
      <c r="C141" s="1" t="s">
        <v>24</v>
      </c>
      <c r="D141" s="1">
        <v>2018</v>
      </c>
      <c r="E141" s="1">
        <v>6</v>
      </c>
      <c r="F141" s="10">
        <f>Table3[[#This Row],[First season 
with SF]]+Table3[[#This Row],['# Services 
provided]]</f>
        <v>7</v>
      </c>
      <c r="G141" s="26">
        <f>(Table3[[#This Row],[Total Income 
(Race + Price 
sold + Offs - maintenance cost)]]-Table3[[#This Row],[Price 
Bought]])/Table3[[#This Row],[Price 
Bought]]</f>
        <v>1.886656559259259</v>
      </c>
      <c r="H141" s="31">
        <f>Table3[[#This Row],[Race 
earnings]]+Table3[[#This Row],[Price 
Sold]]-Table3[[#This Row],[Maintenance cost]]+Table3[[#This Row],[Total 
profit (Income - cost)]]</f>
        <v>389698.63549999997</v>
      </c>
      <c r="I141" s="3">
        <f>_xlfn.IFNA(VLOOKUP(Table3[[#This Row],[damId]],Sheet1!$A$2:$M$970,5, FALSE), VLOOKUP(Table3[[#This Row],[dam]],Sheet1!$B$2:$M$970,4, FALSE))</f>
        <v>0</v>
      </c>
      <c r="J141" s="3">
        <f>_xlfn.IFNA(VLOOKUP(Table3[[#This Row],[damId]],Sheet1!$A$2:$M$970,13, FALSE), VLOOKUP(Table3[[#This Row],[dam]],Sheet1!$B$2:$M$970,13, FALSE))</f>
        <v>-30000</v>
      </c>
      <c r="K141" s="3">
        <f>_xlfn.IFNA(VLOOKUP(Table3[[#This Row],[damId]],Sheet1!$A$2:$M$970,11, FALSE), VLOOKUP(Table3[[#This Row],[dam]],Sheet1!$B$2:$M$970,11, FALSE))</f>
        <v>135000</v>
      </c>
      <c r="L141" s="3">
        <f>_xlfn.IFNA(VLOOKUP(Table3[[#This Row],[damId]],Sheet1!$A$2:$M$970,12, FALSE), VLOOKUP(Table3[[#This Row],[dam]],Sheet1!$B$2:$M$970,12, FALSE))</f>
        <v>105000</v>
      </c>
      <c r="M141" s="3">
        <f>_xlfn.IFNA(VLOOKUP(Table3[[#This Row],[damId]],Sheet1!$A$2:$T$970,20, FALSE), VLOOKUP(Table3[[#This Row],[dam]],Sheet1!$B$2:$T$970,20, FALSE))*Sheet1!$AD$3</f>
        <v>14054.7945</v>
      </c>
      <c r="N141" s="3">
        <f>Table3[[#This Row],[Total 
income (Earnings + value - stud fee)]]-Table3[[#This Row],[Maintenance cost ]]</f>
        <v>298753.43</v>
      </c>
      <c r="O141" s="3">
        <f>SUM(Table3[[#This Row],[income1]:[income12]])</f>
        <v>320000</v>
      </c>
      <c r="P141" s="3">
        <f>_xlfn.IFNA(VLOOKUP(Table3[[#This Row],[damId]],Sheet1!$A$2:$Y$970,23, FALSE), VLOOKUP(Table3[[#This Row],[dam]],Sheet1!$B$2:$Y$970,23, FALSE))*Sheet1!$AD$3</f>
        <v>21246.57</v>
      </c>
      <c r="Q141" s="3">
        <f>SUM(Table3[[#This Row],[earningsInRaces1]:[earningsInRaces12]])</f>
        <v>0</v>
      </c>
      <c r="R141" s="3">
        <f>SUM(Table3[[#This Row],[auctionPrice1]:[auctionPrice12]])</f>
        <v>320000</v>
      </c>
      <c r="S141" s="3">
        <f>SUM(Table3[[#This Row],[studFeeUSD1]:[studFeeUSD12]])</f>
        <v>0</v>
      </c>
      <c r="T141" s="7">
        <f>COUNT(Table3[[#This Row],[successfulService1]:[successfulService12]])</f>
        <v>1</v>
      </c>
      <c r="U141" s="7">
        <f>SUM(Table3[[#This Row],[successfulService1]:[successfulService12]])</f>
        <v>1</v>
      </c>
      <c r="V141" s="7">
        <f>SUM(Table3[[#This Row],[soldInAuction1]:[soldInAuction12]])</f>
        <v>1</v>
      </c>
      <c r="W141" s="7">
        <f>SUM(Table3[[#This Row],[foreignHorse1]:[foreignHorse12]])</f>
        <v>0</v>
      </c>
      <c r="X141" s="3">
        <v>320000</v>
      </c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>
        <v>0</v>
      </c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>
        <v>320000</v>
      </c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>
        <v>0</v>
      </c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1">
        <v>0</v>
      </c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>
        <v>1</v>
      </c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>
        <v>1</v>
      </c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>
        <v>0</v>
      </c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>
        <v>6</v>
      </c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</row>
    <row r="142" spans="1:131" x14ac:dyDescent="0.3">
      <c r="A142">
        <v>8594139</v>
      </c>
      <c r="B142" s="1" t="s">
        <v>311</v>
      </c>
      <c r="C142" s="1" t="s">
        <v>24</v>
      </c>
      <c r="D142" s="1">
        <v>2018</v>
      </c>
      <c r="E142" s="1">
        <v>4</v>
      </c>
      <c r="F142" s="10">
        <f>Table3[[#This Row],[First season 
with SF]]+Table3[[#This Row],['# Services 
provided]]</f>
        <v>10</v>
      </c>
      <c r="G142" s="26">
        <f>(Table3[[#This Row],[Total Income 
(Race + Price 
sold + Offs - maintenance cost)]]-Table3[[#This Row],[Price 
Bought]])/Table3[[#This Row],[Price 
Bought]]</f>
        <v>3.2322632727272724</v>
      </c>
      <c r="H142" s="31">
        <f>Table3[[#This Row],[Race 
earnings]]+Table3[[#This Row],[Price 
Sold]]-Table3[[#This Row],[Maintenance cost]]+Table3[[#This Row],[Total 
profit (Income - cost)]]</f>
        <v>465548.95999999996</v>
      </c>
      <c r="I142" s="3">
        <f>_xlfn.IFNA(VLOOKUP(Table3[[#This Row],[damId]],Sheet1!$A$2:$M$970,5, FALSE), VLOOKUP(Table3[[#This Row],[dam]],Sheet1!$B$2:$M$970,4, FALSE))</f>
        <v>0</v>
      </c>
      <c r="J142" s="3">
        <f>_xlfn.IFNA(VLOOKUP(Table3[[#This Row],[damId]],Sheet1!$A$2:$M$970,13, FALSE), VLOOKUP(Table3[[#This Row],[dam]],Sheet1!$B$2:$M$970,13, FALSE))</f>
        <v>-110000</v>
      </c>
      <c r="K142" s="3">
        <f>_xlfn.IFNA(VLOOKUP(Table3[[#This Row],[damId]],Sheet1!$A$2:$M$970,11, FALSE), VLOOKUP(Table3[[#This Row],[dam]],Sheet1!$B$2:$M$970,11, FALSE))</f>
        <v>110000</v>
      </c>
      <c r="L142" s="3">
        <f>_xlfn.IFNA(VLOOKUP(Table3[[#This Row],[damId]],Sheet1!$A$2:$M$970,12, FALSE), VLOOKUP(Table3[[#This Row],[dam]],Sheet1!$B$2:$M$970,12, FALSE))</f>
        <v>0</v>
      </c>
      <c r="M142" s="3">
        <f>_xlfn.IFNA(VLOOKUP(Table3[[#This Row],[damId]],Sheet1!$A$2:$T$970,20, FALSE), VLOOKUP(Table3[[#This Row],[dam]],Sheet1!$B$2:$T$970,20, FALSE))*Sheet1!$AD$3</f>
        <v>109191.78</v>
      </c>
      <c r="N142" s="3">
        <f>Table3[[#This Row],[Total 
income (Earnings + value - stud fee)]]-Table3[[#This Row],[Maintenance cost ]]</f>
        <v>574740.74</v>
      </c>
      <c r="O142" s="3">
        <f>SUM(Table3[[#This Row],[income1]:[income12]])</f>
        <v>574740.74</v>
      </c>
      <c r="P142" s="3">
        <f>_xlfn.IFNA(VLOOKUP(Table3[[#This Row],[damId]],Sheet1!$A$2:$Y$970,23, FALSE), VLOOKUP(Table3[[#This Row],[dam]],Sheet1!$B$2:$Y$970,23, FALSE))*Sheet1!$AD$3</f>
        <v>0</v>
      </c>
      <c r="Q142" s="3">
        <f>SUM(Table3[[#This Row],[earningsInRaces1]:[earningsInRaces12]])</f>
        <v>0</v>
      </c>
      <c r="R142" s="3">
        <f>SUM(Table3[[#This Row],[auctionPrice1]:[auctionPrice12]])</f>
        <v>805000</v>
      </c>
      <c r="S142" s="3">
        <f>SUM(Table3[[#This Row],[studFeeUSD1]:[studFeeUSD12]])</f>
        <v>-230259.26</v>
      </c>
      <c r="T142" s="7">
        <f>COUNT(Table3[[#This Row],[successfulService1]:[successfulService12]])</f>
        <v>6</v>
      </c>
      <c r="U142" s="7">
        <f>SUM(Table3[[#This Row],[successfulService1]:[successfulService12]])</f>
        <v>3</v>
      </c>
      <c r="V142" s="7">
        <f>SUM(Table3[[#This Row],[soldInAuction1]:[soldInAuction12]])</f>
        <v>3</v>
      </c>
      <c r="W142" s="7">
        <f>SUM(Table3[[#This Row],[foreignHorse1]:[foreignHorse12]])</f>
        <v>0</v>
      </c>
      <c r="X142" s="3">
        <v>525000</v>
      </c>
      <c r="Y142" s="3">
        <v>-15000</v>
      </c>
      <c r="Z142" s="3">
        <v>-75259.259999999995</v>
      </c>
      <c r="AA142" s="3">
        <v>-60000</v>
      </c>
      <c r="AB142" s="3">
        <v>-40000</v>
      </c>
      <c r="AC142" s="3">
        <v>240000</v>
      </c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>
        <v>525000</v>
      </c>
      <c r="AW142" s="3"/>
      <c r="AX142" s="3"/>
      <c r="AY142" s="3">
        <v>20000</v>
      </c>
      <c r="AZ142" s="3"/>
      <c r="BA142" s="3">
        <v>260000</v>
      </c>
      <c r="BB142" s="3"/>
      <c r="BC142" s="3"/>
      <c r="BD142" s="3"/>
      <c r="BE142" s="3"/>
      <c r="BF142" s="3"/>
      <c r="BG142" s="3"/>
      <c r="BH142" s="3">
        <v>0</v>
      </c>
      <c r="BI142" s="3">
        <v>-15000</v>
      </c>
      <c r="BJ142" s="3">
        <v>-75259.259999999995</v>
      </c>
      <c r="BK142" s="3">
        <v>-80000</v>
      </c>
      <c r="BL142" s="3">
        <v>-40000</v>
      </c>
      <c r="BM142" s="3">
        <v>-20000</v>
      </c>
      <c r="BN142" s="3"/>
      <c r="BO142" s="3"/>
      <c r="BP142" s="3"/>
      <c r="BQ142" s="3"/>
      <c r="BR142" s="3"/>
      <c r="BS142" s="3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>
        <v>1</v>
      </c>
      <c r="CG142" s="1">
        <v>0</v>
      </c>
      <c r="CH142" s="1">
        <v>0</v>
      </c>
      <c r="CI142" s="1">
        <v>1</v>
      </c>
      <c r="CJ142" s="1">
        <v>0</v>
      </c>
      <c r="CK142" s="1">
        <v>1</v>
      </c>
      <c r="CL142" s="1"/>
      <c r="CM142" s="1"/>
      <c r="CN142" s="1"/>
      <c r="CO142" s="1"/>
      <c r="CP142" s="1"/>
      <c r="CQ142" s="1"/>
      <c r="CR142" s="1">
        <v>1</v>
      </c>
      <c r="CS142" s="1">
        <v>0</v>
      </c>
      <c r="CT142" s="1">
        <v>0</v>
      </c>
      <c r="CU142" s="1">
        <v>1</v>
      </c>
      <c r="CV142" s="1">
        <v>0</v>
      </c>
      <c r="CW142" s="1">
        <v>1</v>
      </c>
      <c r="CX142" s="1"/>
      <c r="CY142" s="1"/>
      <c r="CZ142" s="1"/>
      <c r="DA142" s="1"/>
      <c r="DB142" s="1"/>
      <c r="DC142" s="1"/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/>
      <c r="DK142" s="1"/>
      <c r="DL142" s="1"/>
      <c r="DM142" s="1"/>
      <c r="DN142" s="1"/>
      <c r="DO142" s="1"/>
      <c r="DP142" s="1">
        <v>4</v>
      </c>
      <c r="DQ142" s="1">
        <v>5</v>
      </c>
      <c r="DR142" s="1">
        <v>6</v>
      </c>
      <c r="DS142" s="1">
        <v>7</v>
      </c>
      <c r="DT142" s="1">
        <v>8</v>
      </c>
      <c r="DU142" s="1">
        <v>9</v>
      </c>
      <c r="DV142" s="1"/>
      <c r="DW142" s="1"/>
      <c r="DX142" s="1"/>
      <c r="DY142" s="1"/>
      <c r="DZ142" s="1"/>
      <c r="EA142" s="1"/>
    </row>
    <row r="143" spans="1:131" x14ac:dyDescent="0.3">
      <c r="A143">
        <v>8603820</v>
      </c>
      <c r="B143" s="1" t="s">
        <v>315</v>
      </c>
      <c r="C143" s="1" t="s">
        <v>24</v>
      </c>
      <c r="D143" s="1">
        <v>2018</v>
      </c>
      <c r="E143" s="1">
        <v>5</v>
      </c>
      <c r="F143" s="10">
        <f>Table3[[#This Row],[First season 
with SF]]+Table3[[#This Row],['# Services 
provided]]</f>
        <v>6</v>
      </c>
      <c r="G143" s="26">
        <f>(Table3[[#This Row],[Total Income 
(Race + Price 
sold + Offs - maintenance cost)]]-Table3[[#This Row],[Price 
Bought]])/Table3[[#This Row],[Price 
Bought]]</f>
        <v>-1.0259621380952382</v>
      </c>
      <c r="H143" s="31">
        <f>Table3[[#This Row],[Race 
earnings]]+Table3[[#This Row],[Price 
Sold]]-Table3[[#This Row],[Maintenance cost]]+Table3[[#This Row],[Total 
profit (Income - cost)]]</f>
        <v>-2726.0244999999986</v>
      </c>
      <c r="I143" s="3">
        <f>_xlfn.IFNA(VLOOKUP(Table3[[#This Row],[damId]],Sheet1!$A$2:$M$970,5, FALSE), VLOOKUP(Table3[[#This Row],[dam]],Sheet1!$B$2:$M$970,4, FALSE))</f>
        <v>0</v>
      </c>
      <c r="J143" s="3">
        <f>_xlfn.IFNA(VLOOKUP(Table3[[#This Row],[damId]],Sheet1!$A$2:$M$970,13, FALSE), VLOOKUP(Table3[[#This Row],[dam]],Sheet1!$B$2:$M$970,13, FALSE))</f>
        <v>-98000</v>
      </c>
      <c r="K143" s="3">
        <f>_xlfn.IFNA(VLOOKUP(Table3[[#This Row],[damId]],Sheet1!$A$2:$M$970,11, FALSE), VLOOKUP(Table3[[#This Row],[dam]],Sheet1!$B$2:$M$970,11, FALSE))</f>
        <v>105000</v>
      </c>
      <c r="L143" s="3">
        <f>_xlfn.IFNA(VLOOKUP(Table3[[#This Row],[damId]],Sheet1!$A$2:$M$970,12, FALSE), VLOOKUP(Table3[[#This Row],[dam]],Sheet1!$B$2:$M$970,12, FALSE))</f>
        <v>7000</v>
      </c>
      <c r="M143" s="3">
        <f>_xlfn.IFNA(VLOOKUP(Table3[[#This Row],[damId]],Sheet1!$A$2:$T$970,20, FALSE), VLOOKUP(Table3[[#This Row],[dam]],Sheet1!$B$2:$T$970,20, FALSE))*Sheet1!$AD$3</f>
        <v>15123.285</v>
      </c>
      <c r="N143" s="3">
        <f>Table3[[#This Row],[Total 
income (Earnings + value - stud fee)]]-Table3[[#This Row],[Maintenance cost ]]</f>
        <v>5397.2605000000012</v>
      </c>
      <c r="O143" s="3">
        <f>SUM(Table3[[#This Row],[income1]:[income12]])</f>
        <v>13000</v>
      </c>
      <c r="P143" s="3">
        <f>_xlfn.IFNA(VLOOKUP(Table3[[#This Row],[damId]],Sheet1!$A$2:$Y$970,23, FALSE), VLOOKUP(Table3[[#This Row],[dam]],Sheet1!$B$2:$Y$970,23, FALSE))*Sheet1!$AD$3</f>
        <v>7602.7394999999988</v>
      </c>
      <c r="Q143" s="3">
        <f>SUM(Table3[[#This Row],[earningsInRaces1]:[earningsInRaces12]])</f>
        <v>0</v>
      </c>
      <c r="R143" s="3">
        <f>SUM(Table3[[#This Row],[auctionPrice1]:[auctionPrice12]])</f>
        <v>13000</v>
      </c>
      <c r="S143" s="3">
        <f>SUM(Table3[[#This Row],[studFeeUSD1]:[studFeeUSD12]])</f>
        <v>0</v>
      </c>
      <c r="T143" s="7">
        <f>COUNT(Table3[[#This Row],[successfulService1]:[successfulService12]])</f>
        <v>1</v>
      </c>
      <c r="U143" s="7">
        <f>SUM(Table3[[#This Row],[successfulService1]:[successfulService12]])</f>
        <v>1</v>
      </c>
      <c r="V143" s="7">
        <f>SUM(Table3[[#This Row],[soldInAuction1]:[soldInAuction12]])</f>
        <v>1</v>
      </c>
      <c r="W143" s="7">
        <f>SUM(Table3[[#This Row],[foreignHorse1]:[foreignHorse12]])</f>
        <v>0</v>
      </c>
      <c r="X143" s="3">
        <v>13000</v>
      </c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>
        <v>0</v>
      </c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>
        <v>13000</v>
      </c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>
        <v>0</v>
      </c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1">
        <v>0</v>
      </c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>
        <v>1</v>
      </c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>
        <v>1</v>
      </c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>
        <v>0</v>
      </c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>
        <v>5</v>
      </c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</row>
    <row r="144" spans="1:131" x14ac:dyDescent="0.3">
      <c r="A144">
        <v>8855111</v>
      </c>
      <c r="B144" s="1" t="s">
        <v>366</v>
      </c>
      <c r="C144" s="1" t="s">
        <v>24</v>
      </c>
      <c r="D144" s="1">
        <v>2018</v>
      </c>
      <c r="E144" s="1">
        <v>4</v>
      </c>
      <c r="F144" s="10">
        <f>Table3[[#This Row],[First season 
with SF]]+Table3[[#This Row],['# Services 
provided]]</f>
        <v>8</v>
      </c>
      <c r="G144" s="26">
        <f>(Table3[[#This Row],[Total Income 
(Race + Price 
sold + Offs - maintenance cost)]]-Table3[[#This Row],[Price 
Bought]])/Table3[[#This Row],[Price 
Bought]]</f>
        <v>-2.5731331451612904</v>
      </c>
      <c r="H144" s="31">
        <f>Table3[[#This Row],[Race 
earnings]]+Table3[[#This Row],[Price 
Sold]]-Table3[[#This Row],[Maintenance cost]]+Table3[[#This Row],[Total 
profit (Income - cost)]]</f>
        <v>-97534.255000000005</v>
      </c>
      <c r="I144" s="3">
        <f>_xlfn.IFNA(VLOOKUP(Table3[[#This Row],[damId]],Sheet1!$A$2:$M$970,5, FALSE), VLOOKUP(Table3[[#This Row],[dam]],Sheet1!$B$2:$M$970,4, FALSE))</f>
        <v>0</v>
      </c>
      <c r="J144" s="3">
        <f>_xlfn.IFNA(VLOOKUP(Table3[[#This Row],[damId]],Sheet1!$A$2:$M$970,13, FALSE), VLOOKUP(Table3[[#This Row],[dam]],Sheet1!$B$2:$M$970,13, FALSE))</f>
        <v>-62000</v>
      </c>
      <c r="K144" s="3">
        <f>_xlfn.IFNA(VLOOKUP(Table3[[#This Row],[damId]],Sheet1!$A$2:$M$970,11, FALSE), VLOOKUP(Table3[[#This Row],[dam]],Sheet1!$B$2:$M$970,11, FALSE))</f>
        <v>62000</v>
      </c>
      <c r="L144" s="3">
        <f>_xlfn.IFNA(VLOOKUP(Table3[[#This Row],[damId]],Sheet1!$A$2:$M$970,12, FALSE), VLOOKUP(Table3[[#This Row],[dam]],Sheet1!$B$2:$M$970,12, FALSE))</f>
        <v>0</v>
      </c>
      <c r="M144" s="3">
        <f>_xlfn.IFNA(VLOOKUP(Table3[[#This Row],[damId]],Sheet1!$A$2:$T$970,20, FALSE), VLOOKUP(Table3[[#This Row],[dam]],Sheet1!$B$2:$T$970,20, FALSE))*Sheet1!$AD$3</f>
        <v>120534.255</v>
      </c>
      <c r="N144" s="3">
        <f>Table3[[#This Row],[Total 
income (Earnings + value - stud fee)]]-Table3[[#This Row],[Maintenance cost ]]</f>
        <v>23000</v>
      </c>
      <c r="O144" s="3">
        <f>SUM(Table3[[#This Row],[income1]:[income12]])</f>
        <v>23000</v>
      </c>
      <c r="P144" s="3">
        <f>_xlfn.IFNA(VLOOKUP(Table3[[#This Row],[damId]],Sheet1!$A$2:$Y$970,23, FALSE), VLOOKUP(Table3[[#This Row],[dam]],Sheet1!$B$2:$Y$970,23, FALSE))*Sheet1!$AD$3</f>
        <v>0</v>
      </c>
      <c r="Q144" s="3">
        <f>SUM(Table3[[#This Row],[earningsInRaces1]:[earningsInRaces12]])</f>
        <v>0</v>
      </c>
      <c r="R144" s="3">
        <f>SUM(Table3[[#This Row],[auctionPrice1]:[auctionPrice12]])</f>
        <v>23000</v>
      </c>
      <c r="S144" s="3">
        <f>SUM(Table3[[#This Row],[studFeeUSD1]:[studFeeUSD12]])</f>
        <v>0</v>
      </c>
      <c r="T144" s="7">
        <f>COUNT(Table3[[#This Row],[successfulService1]:[successfulService12]])</f>
        <v>4</v>
      </c>
      <c r="U144" s="7">
        <f>SUM(Table3[[#This Row],[successfulService1]:[successfulService12]])</f>
        <v>2</v>
      </c>
      <c r="V144" s="7">
        <f>SUM(Table3[[#This Row],[soldInAuction1]:[soldInAuction12]])</f>
        <v>2</v>
      </c>
      <c r="W144" s="7">
        <f>SUM(Table3[[#This Row],[foreignHorse1]:[foreignHorse12]])</f>
        <v>0</v>
      </c>
      <c r="X144" s="3">
        <v>20000</v>
      </c>
      <c r="Y144" s="3">
        <v>3000</v>
      </c>
      <c r="Z144" s="3">
        <v>0</v>
      </c>
      <c r="AA144" s="3">
        <v>0</v>
      </c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>
        <v>20000</v>
      </c>
      <c r="AW144" s="3">
        <v>3000</v>
      </c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>
        <v>0</v>
      </c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>
        <v>1</v>
      </c>
      <c r="CG144" s="1">
        <v>1</v>
      </c>
      <c r="CH144" s="1">
        <v>0</v>
      </c>
      <c r="CI144" s="1">
        <v>0</v>
      </c>
      <c r="CJ144" s="1"/>
      <c r="CK144" s="1"/>
      <c r="CL144" s="1"/>
      <c r="CM144" s="1"/>
      <c r="CN144" s="1"/>
      <c r="CO144" s="1"/>
      <c r="CP144" s="1"/>
      <c r="CQ144" s="1"/>
      <c r="CR144" s="1">
        <v>1</v>
      </c>
      <c r="CS144" s="1">
        <v>1</v>
      </c>
      <c r="CT144" s="1">
        <v>0</v>
      </c>
      <c r="CU144" s="1">
        <v>0</v>
      </c>
      <c r="CV144" s="1"/>
      <c r="CW144" s="1"/>
      <c r="CX144" s="1"/>
      <c r="CY144" s="1"/>
      <c r="CZ144" s="1"/>
      <c r="DA144" s="1"/>
      <c r="DB144" s="1"/>
      <c r="DC144" s="1"/>
      <c r="DD144" s="1">
        <v>0</v>
      </c>
      <c r="DE144" s="1">
        <v>0</v>
      </c>
      <c r="DF144" s="1">
        <v>0</v>
      </c>
      <c r="DG144" s="1">
        <v>0</v>
      </c>
      <c r="DH144" s="1"/>
      <c r="DI144" s="1"/>
      <c r="DJ144" s="1"/>
      <c r="DK144" s="1"/>
      <c r="DL144" s="1"/>
      <c r="DM144" s="1"/>
      <c r="DN144" s="1"/>
      <c r="DO144" s="1"/>
      <c r="DP144" s="1">
        <v>4</v>
      </c>
      <c r="DQ144" s="1">
        <v>5</v>
      </c>
      <c r="DR144" s="1">
        <v>6</v>
      </c>
      <c r="DS144" s="1">
        <v>7</v>
      </c>
      <c r="DT144" s="1"/>
      <c r="DU144" s="1"/>
      <c r="DV144" s="1"/>
      <c r="DW144" s="1"/>
      <c r="DX144" s="1"/>
      <c r="DY144" s="1"/>
      <c r="DZ144" s="1"/>
      <c r="EA144" s="1"/>
    </row>
    <row r="145" spans="1:131" x14ac:dyDescent="0.3">
      <c r="A145">
        <v>8867209</v>
      </c>
      <c r="B145" s="1" t="s">
        <v>378</v>
      </c>
      <c r="C145" s="1" t="s">
        <v>139</v>
      </c>
      <c r="D145" s="1">
        <v>2018</v>
      </c>
      <c r="E145" s="1">
        <v>1</v>
      </c>
      <c r="F145" s="10">
        <f>Table3[[#This Row],[First season 
with SF]]+Table3[[#This Row],['# Services 
provided]]</f>
        <v>7</v>
      </c>
      <c r="G145" s="26">
        <f>(Table3[[#This Row],[Total Income 
(Race + Price 
sold + Offs - maintenance cost)]]-Table3[[#This Row],[Price 
Bought]])/Table3[[#This Row],[Price 
Bought]]</f>
        <v>3.5510703499999998</v>
      </c>
      <c r="H145" s="31">
        <f>Table3[[#This Row],[Race 
earnings]]+Table3[[#This Row],[Price 
Sold]]-Table3[[#This Row],[Maintenance cost]]+Table3[[#This Row],[Total 
profit (Income - cost)]]</f>
        <v>455107.03499999997</v>
      </c>
      <c r="I145" s="3">
        <f>_xlfn.IFNA(VLOOKUP(Table3[[#This Row],[damId]],Sheet1!$A$2:$M$970,5, FALSE), VLOOKUP(Table3[[#This Row],[dam]],Sheet1!$B$2:$M$970,4, FALSE))</f>
        <v>0</v>
      </c>
      <c r="J145" s="3">
        <f>_xlfn.IFNA(VLOOKUP(Table3[[#This Row],[damId]],Sheet1!$A$2:$M$970,13, FALSE), VLOOKUP(Table3[[#This Row],[dam]],Sheet1!$B$2:$M$970,13, FALSE))</f>
        <v>-100000</v>
      </c>
      <c r="K145" s="3">
        <f>_xlfn.IFNA(VLOOKUP(Table3[[#This Row],[damId]],Sheet1!$A$2:$M$970,11, FALSE), VLOOKUP(Table3[[#This Row],[dam]],Sheet1!$B$2:$M$970,11, FALSE))</f>
        <v>100000</v>
      </c>
      <c r="L145" s="3">
        <f>_xlfn.IFNA(VLOOKUP(Table3[[#This Row],[damId]],Sheet1!$A$2:$M$970,12, FALSE), VLOOKUP(Table3[[#This Row],[dam]],Sheet1!$B$2:$M$970,12, FALSE))</f>
        <v>0</v>
      </c>
      <c r="M145" s="3">
        <f>_xlfn.IFNA(VLOOKUP(Table3[[#This Row],[damId]],Sheet1!$A$2:$T$970,20, FALSE), VLOOKUP(Table3[[#This Row],[dam]],Sheet1!$B$2:$T$970,20, FALSE))*Sheet1!$AD$3</f>
        <v>124273.96500000001</v>
      </c>
      <c r="N145" s="3">
        <f>Table3[[#This Row],[Total 
income (Earnings + value - stud fee)]]-Table3[[#This Row],[Maintenance cost ]]</f>
        <v>579381</v>
      </c>
      <c r="O145" s="3">
        <f>SUM(Table3[[#This Row],[income1]:[income12]])</f>
        <v>579381</v>
      </c>
      <c r="P145" s="3">
        <f>_xlfn.IFNA(VLOOKUP(Table3[[#This Row],[damId]],Sheet1!$A$2:$Y$970,23, FALSE), VLOOKUP(Table3[[#This Row],[dam]],Sheet1!$B$2:$Y$970,23, FALSE))*Sheet1!$AD$3</f>
        <v>0</v>
      </c>
      <c r="Q145" s="3">
        <f>SUM(Table3[[#This Row],[earningsInRaces1]:[earningsInRaces12]])</f>
        <v>0</v>
      </c>
      <c r="R145" s="3">
        <f>SUM(Table3[[#This Row],[auctionPrice1]:[auctionPrice12]])</f>
        <v>579381</v>
      </c>
      <c r="S145" s="3">
        <f>SUM(Table3[[#This Row],[studFeeUSD1]:[studFeeUSD12]])</f>
        <v>0</v>
      </c>
      <c r="T145" s="7">
        <f>COUNT(Table3[[#This Row],[successfulService1]:[successfulService12]])</f>
        <v>6</v>
      </c>
      <c r="U145" s="7">
        <f>SUM(Table3[[#This Row],[successfulService1]:[successfulService12]])</f>
        <v>6</v>
      </c>
      <c r="V145" s="7">
        <f>SUM(Table3[[#This Row],[soldInAuction1]:[soldInAuction12]])</f>
        <v>6</v>
      </c>
      <c r="W145" s="7">
        <f>SUM(Table3[[#This Row],[foreignHorse1]:[foreignHorse12]])</f>
        <v>5</v>
      </c>
      <c r="X145" s="3">
        <v>17867</v>
      </c>
      <c r="Y145" s="3">
        <v>291250</v>
      </c>
      <c r="Z145" s="3">
        <v>188603</v>
      </c>
      <c r="AA145" s="3">
        <v>38370</v>
      </c>
      <c r="AB145" s="3">
        <v>23407</v>
      </c>
      <c r="AC145" s="3">
        <v>19884</v>
      </c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>
        <v>17867</v>
      </c>
      <c r="AW145" s="3">
        <v>291250</v>
      </c>
      <c r="AX145" s="3">
        <v>188603</v>
      </c>
      <c r="AY145" s="3">
        <v>38370</v>
      </c>
      <c r="AZ145" s="3">
        <v>23407</v>
      </c>
      <c r="BA145" s="3">
        <v>19884</v>
      </c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>
        <v>1</v>
      </c>
      <c r="CG145" s="1">
        <v>1</v>
      </c>
      <c r="CH145" s="1">
        <v>1</v>
      </c>
      <c r="CI145" s="1">
        <v>1</v>
      </c>
      <c r="CJ145" s="1">
        <v>1</v>
      </c>
      <c r="CK145" s="1">
        <v>1</v>
      </c>
      <c r="CL145" s="1"/>
      <c r="CM145" s="1"/>
      <c r="CN145" s="1"/>
      <c r="CO145" s="1"/>
      <c r="CP145" s="1"/>
      <c r="CQ145" s="1"/>
      <c r="CR145" s="1">
        <v>1</v>
      </c>
      <c r="CS145" s="1">
        <v>1</v>
      </c>
      <c r="CT145" s="1">
        <v>1</v>
      </c>
      <c r="CU145" s="1">
        <v>1</v>
      </c>
      <c r="CV145" s="1">
        <v>1</v>
      </c>
      <c r="CW145" s="1">
        <v>1</v>
      </c>
      <c r="CX145" s="1"/>
      <c r="CY145" s="1"/>
      <c r="CZ145" s="1"/>
      <c r="DA145" s="1"/>
      <c r="DB145" s="1"/>
      <c r="DC145" s="1"/>
      <c r="DD145" s="1">
        <v>1</v>
      </c>
      <c r="DE145" s="1">
        <v>1</v>
      </c>
      <c r="DF145" s="1">
        <v>1</v>
      </c>
      <c r="DG145" s="1">
        <v>1</v>
      </c>
      <c r="DH145" s="1">
        <v>1</v>
      </c>
      <c r="DI145" s="1">
        <v>0</v>
      </c>
      <c r="DJ145" s="1"/>
      <c r="DK145" s="1"/>
      <c r="DL145" s="1"/>
      <c r="DM145" s="1"/>
      <c r="DN145" s="1"/>
      <c r="DO145" s="1"/>
      <c r="DP145" s="1">
        <v>1</v>
      </c>
      <c r="DQ145" s="1">
        <v>2</v>
      </c>
      <c r="DR145" s="1">
        <v>3</v>
      </c>
      <c r="DS145" s="1">
        <v>4</v>
      </c>
      <c r="DT145" s="1">
        <v>5</v>
      </c>
      <c r="DU145" s="1">
        <v>6</v>
      </c>
      <c r="DV145" s="1"/>
      <c r="DW145" s="1"/>
      <c r="DX145" s="1"/>
      <c r="DY145" s="1"/>
      <c r="DZ145" s="1"/>
      <c r="EA145" s="1"/>
    </row>
    <row r="146" spans="1:131" x14ac:dyDescent="0.3">
      <c r="A146">
        <v>8871917</v>
      </c>
      <c r="B146" s="1" t="s">
        <v>380</v>
      </c>
      <c r="C146" s="1" t="s">
        <v>139</v>
      </c>
      <c r="D146" s="1">
        <v>2018</v>
      </c>
      <c r="E146" s="1">
        <v>1</v>
      </c>
      <c r="F146" s="10">
        <f>Table3[[#This Row],[First season 
with SF]]+Table3[[#This Row],['# Services 
provided]]</f>
        <v>2</v>
      </c>
      <c r="G146" s="26">
        <f>(Table3[[#This Row],[Total Income 
(Race + Price 
sold + Offs - maintenance cost)]]-Table3[[#This Row],[Price 
Bought]])/Table3[[#This Row],[Price 
Bought]]</f>
        <v>0.22442270000000003</v>
      </c>
      <c r="H146" s="31">
        <f>Table3[[#This Row],[Race 
earnings]]+Table3[[#This Row],[Price 
Sold]]-Table3[[#This Row],[Maintenance cost]]+Table3[[#This Row],[Total 
profit (Income - cost)]]</f>
        <v>428547.94500000001</v>
      </c>
      <c r="I146" s="3">
        <f>_xlfn.IFNA(VLOOKUP(Table3[[#This Row],[damId]],Sheet1!$A$2:$M$970,5, FALSE), VLOOKUP(Table3[[#This Row],[dam]],Sheet1!$B$2:$M$970,4, FALSE))</f>
        <v>0</v>
      </c>
      <c r="J146" s="3">
        <f>_xlfn.IFNA(VLOOKUP(Table3[[#This Row],[damId]],Sheet1!$A$2:$M$970,13, FALSE), VLOOKUP(Table3[[#This Row],[dam]],Sheet1!$B$2:$M$970,13, FALSE))</f>
        <v>150000</v>
      </c>
      <c r="K146" s="3">
        <f>_xlfn.IFNA(VLOOKUP(Table3[[#This Row],[damId]],Sheet1!$A$2:$M$970,11, FALSE), VLOOKUP(Table3[[#This Row],[dam]],Sheet1!$B$2:$M$970,11, FALSE))</f>
        <v>350000</v>
      </c>
      <c r="L146" s="3">
        <f>_xlfn.IFNA(VLOOKUP(Table3[[#This Row],[damId]],Sheet1!$A$2:$M$970,12, FALSE), VLOOKUP(Table3[[#This Row],[dam]],Sheet1!$B$2:$M$970,12, FALSE))</f>
        <v>500000</v>
      </c>
      <c r="M146" s="3">
        <f>_xlfn.IFNA(VLOOKUP(Table3[[#This Row],[damId]],Sheet1!$A$2:$T$970,20, FALSE), VLOOKUP(Table3[[#This Row],[dam]],Sheet1!$B$2:$T$970,20, FALSE))*Sheet1!$AD$3</f>
        <v>29917.814999999999</v>
      </c>
      <c r="N146" s="3">
        <f>Table3[[#This Row],[Total 
income (Earnings + value - stud fee)]]-Table3[[#This Row],[Maintenance cost ]]</f>
        <v>-41534.239999999998</v>
      </c>
      <c r="O146" s="3">
        <f>SUM(Table3[[#This Row],[income1]:[income12]])</f>
        <v>-5000</v>
      </c>
      <c r="P146" s="3">
        <f>_xlfn.IFNA(VLOOKUP(Table3[[#This Row],[damId]],Sheet1!$A$2:$Y$970,23, FALSE), VLOOKUP(Table3[[#This Row],[dam]],Sheet1!$B$2:$Y$970,23, FALSE))*Sheet1!$AD$3</f>
        <v>36534.239999999998</v>
      </c>
      <c r="Q146" s="3">
        <f>SUM(Table3[[#This Row],[earningsInRaces1]:[earningsInRaces12]])</f>
        <v>0</v>
      </c>
      <c r="R146" s="3">
        <f>SUM(Table3[[#This Row],[auctionPrice1]:[auctionPrice12]])</f>
        <v>20000</v>
      </c>
      <c r="S146" s="3">
        <f>SUM(Table3[[#This Row],[studFeeUSD1]:[studFeeUSD12]])</f>
        <v>-25000</v>
      </c>
      <c r="T146" s="7">
        <f>COUNT(Table3[[#This Row],[successfulService1]:[successfulService12]])</f>
        <v>1</v>
      </c>
      <c r="U146" s="7">
        <f>SUM(Table3[[#This Row],[successfulService1]:[successfulService12]])</f>
        <v>1</v>
      </c>
      <c r="V146" s="7">
        <f>SUM(Table3[[#This Row],[soldInAuction1]:[soldInAuction12]])</f>
        <v>1</v>
      </c>
      <c r="W146" s="7">
        <f>SUM(Table3[[#This Row],[foreignHorse1]:[foreignHorse12]])</f>
        <v>0</v>
      </c>
      <c r="X146" s="3">
        <v>-5000</v>
      </c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>
        <v>0</v>
      </c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>
        <v>20000</v>
      </c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>
        <v>-25000</v>
      </c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1">
        <v>0</v>
      </c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>
        <v>1</v>
      </c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>
        <v>1</v>
      </c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>
        <v>0</v>
      </c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>
        <v>1</v>
      </c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</row>
    <row r="147" spans="1:131" x14ac:dyDescent="0.3">
      <c r="A147">
        <v>8879141</v>
      </c>
      <c r="B147" s="1" t="s">
        <v>386</v>
      </c>
      <c r="C147" s="1" t="s">
        <v>24</v>
      </c>
      <c r="D147" s="1">
        <v>2018</v>
      </c>
      <c r="E147" s="1">
        <v>3</v>
      </c>
      <c r="F147" s="10">
        <f>Table3[[#This Row],[First season 
with SF]]+Table3[[#This Row],['# Services 
provided]]</f>
        <v>7</v>
      </c>
      <c r="G147" s="26">
        <f>(Table3[[#This Row],[Total Income 
(Race + Price 
sold + Offs - maintenance cost)]]-Table3[[#This Row],[Price 
Bought]])/Table3[[#This Row],[Price 
Bought]]</f>
        <v>-3.0772266666666579E-2</v>
      </c>
      <c r="H147" s="31">
        <f>Table3[[#This Row],[Race 
earnings]]+Table3[[#This Row],[Price 
Sold]]-Table3[[#This Row],[Maintenance cost]]+Table3[[#This Row],[Total 
profit (Income - cost)]]</f>
        <v>218076.24000000002</v>
      </c>
      <c r="I147" s="3">
        <f>_xlfn.IFNA(VLOOKUP(Table3[[#This Row],[damId]],Sheet1!$A$2:$M$970,5, FALSE), VLOOKUP(Table3[[#This Row],[dam]],Sheet1!$B$2:$M$970,4, FALSE))</f>
        <v>0</v>
      </c>
      <c r="J147" s="3">
        <f>_xlfn.IFNA(VLOOKUP(Table3[[#This Row],[damId]],Sheet1!$A$2:$M$970,13, FALSE), VLOOKUP(Table3[[#This Row],[dam]],Sheet1!$B$2:$M$970,13, FALSE))</f>
        <v>-131957</v>
      </c>
      <c r="K147" s="3">
        <f>_xlfn.IFNA(VLOOKUP(Table3[[#This Row],[damId]],Sheet1!$A$2:$M$970,11, FALSE), VLOOKUP(Table3[[#This Row],[dam]],Sheet1!$B$2:$M$970,11, FALSE))</f>
        <v>225000</v>
      </c>
      <c r="L147" s="3">
        <f>_xlfn.IFNA(VLOOKUP(Table3[[#This Row],[damId]],Sheet1!$A$2:$M$970,12, FALSE), VLOOKUP(Table3[[#This Row],[dam]],Sheet1!$B$2:$M$970,12, FALSE))</f>
        <v>93043</v>
      </c>
      <c r="M147" s="3">
        <f>_xlfn.IFNA(VLOOKUP(Table3[[#This Row],[damId]],Sheet1!$A$2:$T$970,20, FALSE), VLOOKUP(Table3[[#This Row],[dam]],Sheet1!$B$2:$T$970,20, FALSE))*Sheet1!$AD$3</f>
        <v>53260.275000000001</v>
      </c>
      <c r="N147" s="3">
        <f>Table3[[#This Row],[Total 
income (Earnings + value - stud fee)]]-Table3[[#This Row],[Maintenance cost ]]</f>
        <v>178293.51500000001</v>
      </c>
      <c r="O147" s="3">
        <f>SUM(Table3[[#This Row],[income1]:[income12]])</f>
        <v>199499</v>
      </c>
      <c r="P147" s="3">
        <f>_xlfn.IFNA(VLOOKUP(Table3[[#This Row],[damId]],Sheet1!$A$2:$Y$970,23, FALSE), VLOOKUP(Table3[[#This Row],[dam]],Sheet1!$B$2:$Y$970,23, FALSE))*Sheet1!$AD$3</f>
        <v>21205.485000000001</v>
      </c>
      <c r="Q147" s="3">
        <f>SUM(Table3[[#This Row],[earningsInRaces1]:[earningsInRaces12]])</f>
        <v>0</v>
      </c>
      <c r="R147" s="3">
        <f>SUM(Table3[[#This Row],[auctionPrice1]:[auctionPrice12]])</f>
        <v>199499</v>
      </c>
      <c r="S147" s="3">
        <f>SUM(Table3[[#This Row],[studFeeUSD1]:[studFeeUSD12]])</f>
        <v>0</v>
      </c>
      <c r="T147" s="7">
        <f>COUNT(Table3[[#This Row],[successfulService1]:[successfulService12]])</f>
        <v>4</v>
      </c>
      <c r="U147" s="7">
        <f>SUM(Table3[[#This Row],[successfulService1]:[successfulService12]])</f>
        <v>4</v>
      </c>
      <c r="V147" s="7">
        <f>SUM(Table3[[#This Row],[soldInAuction1]:[soldInAuction12]])</f>
        <v>4</v>
      </c>
      <c r="W147" s="7">
        <f>SUM(Table3[[#This Row],[foreignHorse1]:[foreignHorse12]])</f>
        <v>3</v>
      </c>
      <c r="X147" s="3">
        <v>135000</v>
      </c>
      <c r="Y147" s="3">
        <v>1996</v>
      </c>
      <c r="Z147" s="3">
        <v>35358</v>
      </c>
      <c r="AA147" s="3">
        <v>27145</v>
      </c>
      <c r="AB147" s="3"/>
      <c r="AC147" s="3"/>
      <c r="AD147" s="3"/>
      <c r="AE147" s="3"/>
      <c r="AF147" s="3"/>
      <c r="AG147" s="3"/>
      <c r="AH147" s="3"/>
      <c r="AI147" s="3"/>
      <c r="AJ147" s="3">
        <v>0</v>
      </c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>
        <v>135000</v>
      </c>
      <c r="AW147" s="3">
        <v>1996</v>
      </c>
      <c r="AX147" s="3">
        <v>35358</v>
      </c>
      <c r="AY147" s="3">
        <v>27145</v>
      </c>
      <c r="AZ147" s="3"/>
      <c r="BA147" s="3"/>
      <c r="BB147" s="3"/>
      <c r="BC147" s="3"/>
      <c r="BD147" s="3"/>
      <c r="BE147" s="3"/>
      <c r="BF147" s="3"/>
      <c r="BG147" s="3"/>
      <c r="BH147" s="3">
        <v>0</v>
      </c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1">
        <v>0</v>
      </c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>
        <v>1</v>
      </c>
      <c r="CG147" s="1">
        <v>1</v>
      </c>
      <c r="CH147" s="1">
        <v>1</v>
      </c>
      <c r="CI147" s="1">
        <v>1</v>
      </c>
      <c r="CJ147" s="1"/>
      <c r="CK147" s="1"/>
      <c r="CL147" s="1"/>
      <c r="CM147" s="1"/>
      <c r="CN147" s="1"/>
      <c r="CO147" s="1"/>
      <c r="CP147" s="1"/>
      <c r="CQ147" s="1"/>
      <c r="CR147" s="1">
        <v>1</v>
      </c>
      <c r="CS147" s="1">
        <v>1</v>
      </c>
      <c r="CT147" s="1">
        <v>1</v>
      </c>
      <c r="CU147" s="1">
        <v>1</v>
      </c>
      <c r="CV147" s="1"/>
      <c r="CW147" s="1"/>
      <c r="CX147" s="1"/>
      <c r="CY147" s="1"/>
      <c r="CZ147" s="1"/>
      <c r="DA147" s="1"/>
      <c r="DB147" s="1"/>
      <c r="DC147" s="1"/>
      <c r="DD147" s="1">
        <v>0</v>
      </c>
      <c r="DE147" s="1">
        <v>1</v>
      </c>
      <c r="DF147" s="1">
        <v>1</v>
      </c>
      <c r="DG147" s="1">
        <v>1</v>
      </c>
      <c r="DH147" s="1"/>
      <c r="DI147" s="1"/>
      <c r="DJ147" s="1"/>
      <c r="DK147" s="1"/>
      <c r="DL147" s="1"/>
      <c r="DM147" s="1"/>
      <c r="DN147" s="1"/>
      <c r="DO147" s="1"/>
      <c r="DP147" s="1">
        <v>3</v>
      </c>
      <c r="DQ147" s="1">
        <v>4</v>
      </c>
      <c r="DR147" s="1">
        <v>5</v>
      </c>
      <c r="DS147" s="1">
        <v>6</v>
      </c>
      <c r="DT147" s="1"/>
      <c r="DU147" s="1"/>
      <c r="DV147" s="1"/>
      <c r="DW147" s="1"/>
      <c r="DX147" s="1"/>
      <c r="DY147" s="1"/>
      <c r="DZ147" s="1"/>
      <c r="EA147" s="1"/>
    </row>
    <row r="148" spans="1:131" x14ac:dyDescent="0.3">
      <c r="A148">
        <v>8893462</v>
      </c>
      <c r="B148" s="1" t="s">
        <v>394</v>
      </c>
      <c r="C148" s="1" t="s">
        <v>24</v>
      </c>
      <c r="D148" s="1">
        <v>2018</v>
      </c>
      <c r="E148" s="1">
        <v>3</v>
      </c>
      <c r="F148" s="10">
        <f>Table3[[#This Row],[First season 
with SF]]+Table3[[#This Row],['# Services 
provided]]</f>
        <v>6</v>
      </c>
      <c r="G148" s="26">
        <f>(Table3[[#This Row],[Total Income 
(Race + Price 
sold + Offs - maintenance cost)]]-Table3[[#This Row],[Price 
Bought]])/Table3[[#This Row],[Price 
Bought]]</f>
        <v>1.0077536249999999</v>
      </c>
      <c r="H148" s="31">
        <f>Table3[[#This Row],[Race 
earnings]]+Table3[[#This Row],[Price 
Sold]]-Table3[[#This Row],[Maintenance cost]]+Table3[[#This Row],[Total 
profit (Income - cost)]]</f>
        <v>803101.45</v>
      </c>
      <c r="I148" s="3">
        <f>_xlfn.IFNA(VLOOKUP(Table3[[#This Row],[damId]],Sheet1!$A$2:$M$970,5, FALSE), VLOOKUP(Table3[[#This Row],[dam]],Sheet1!$B$2:$M$970,4, FALSE))</f>
        <v>0</v>
      </c>
      <c r="J148" s="3">
        <f>_xlfn.IFNA(VLOOKUP(Table3[[#This Row],[damId]],Sheet1!$A$2:$M$970,13, FALSE), VLOOKUP(Table3[[#This Row],[dam]],Sheet1!$B$2:$M$970,13, FALSE))</f>
        <v>-279825</v>
      </c>
      <c r="K148" s="3">
        <f>_xlfn.IFNA(VLOOKUP(Table3[[#This Row],[damId]],Sheet1!$A$2:$M$970,11, FALSE), VLOOKUP(Table3[[#This Row],[dam]],Sheet1!$B$2:$M$970,11, FALSE))</f>
        <v>400000</v>
      </c>
      <c r="L148" s="3">
        <f>_xlfn.IFNA(VLOOKUP(Table3[[#This Row],[damId]],Sheet1!$A$2:$M$970,12, FALSE), VLOOKUP(Table3[[#This Row],[dam]],Sheet1!$B$2:$M$970,12, FALSE))</f>
        <v>120175</v>
      </c>
      <c r="M148" s="3">
        <f>_xlfn.IFNA(VLOOKUP(Table3[[#This Row],[damId]],Sheet1!$A$2:$T$970,20, FALSE), VLOOKUP(Table3[[#This Row],[dam]],Sheet1!$B$2:$T$970,20, FALSE))*Sheet1!$AD$3</f>
        <v>37520.550000000003</v>
      </c>
      <c r="N148" s="3">
        <f>Table3[[#This Row],[Total 
income (Earnings + value - stud fee)]]-Table3[[#This Row],[Maintenance cost ]]</f>
        <v>720447</v>
      </c>
      <c r="O148" s="3">
        <f>SUM(Table3[[#This Row],[income1]:[income12]])</f>
        <v>720447</v>
      </c>
      <c r="P148" s="3">
        <f>_xlfn.IFNA(VLOOKUP(Table3[[#This Row],[damId]],Sheet1!$A$2:$Y$970,23, FALSE), VLOOKUP(Table3[[#This Row],[dam]],Sheet1!$B$2:$Y$970,23, FALSE))*Sheet1!$AD$3</f>
        <v>0</v>
      </c>
      <c r="Q148" s="3">
        <f>SUM(Table3[[#This Row],[earningsInRaces1]:[earningsInRaces12]])</f>
        <v>0</v>
      </c>
      <c r="R148" s="3">
        <f>SUM(Table3[[#This Row],[auctionPrice1]:[auctionPrice12]])</f>
        <v>720447</v>
      </c>
      <c r="S148" s="3">
        <f>SUM(Table3[[#This Row],[studFeeUSD1]:[studFeeUSD12]])</f>
        <v>0</v>
      </c>
      <c r="T148" s="7">
        <f>COUNT(Table3[[#This Row],[successfulService1]:[successfulService12]])</f>
        <v>3</v>
      </c>
      <c r="U148" s="7">
        <f>SUM(Table3[[#This Row],[successfulService1]:[successfulService12]])</f>
        <v>3</v>
      </c>
      <c r="V148" s="7">
        <f>SUM(Table3[[#This Row],[soldInAuction1]:[soldInAuction12]])</f>
        <v>2</v>
      </c>
      <c r="W148" s="7">
        <f>SUM(Table3[[#This Row],[foreignHorse1]:[foreignHorse12]])</f>
        <v>2</v>
      </c>
      <c r="X148" s="3">
        <v>190000</v>
      </c>
      <c r="Y148" s="3">
        <v>0</v>
      </c>
      <c r="Z148" s="3">
        <v>530447</v>
      </c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>
        <v>190000</v>
      </c>
      <c r="AW148" s="3"/>
      <c r="AX148" s="3">
        <v>530447</v>
      </c>
      <c r="AY148" s="3"/>
      <c r="AZ148" s="3"/>
      <c r="BA148" s="3"/>
      <c r="BB148" s="3"/>
      <c r="BC148" s="3"/>
      <c r="BD148" s="3"/>
      <c r="BE148" s="3"/>
      <c r="BF148" s="3"/>
      <c r="BG148" s="3"/>
      <c r="BH148" s="3">
        <v>0</v>
      </c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>
        <v>1</v>
      </c>
      <c r="CG148" s="1">
        <v>1</v>
      </c>
      <c r="CH148" s="1">
        <v>1</v>
      </c>
      <c r="CI148" s="1"/>
      <c r="CJ148" s="1"/>
      <c r="CK148" s="1"/>
      <c r="CL148" s="1"/>
      <c r="CM148" s="1"/>
      <c r="CN148" s="1"/>
      <c r="CO148" s="1"/>
      <c r="CP148" s="1"/>
      <c r="CQ148" s="1"/>
      <c r="CR148" s="1">
        <v>1</v>
      </c>
      <c r="CS148" s="1">
        <v>0</v>
      </c>
      <c r="CT148" s="1">
        <v>1</v>
      </c>
      <c r="CU148" s="1"/>
      <c r="CV148" s="1"/>
      <c r="CW148" s="1"/>
      <c r="CX148" s="1"/>
      <c r="CY148" s="1"/>
      <c r="CZ148" s="1"/>
      <c r="DA148" s="1"/>
      <c r="DB148" s="1"/>
      <c r="DC148" s="1"/>
      <c r="DD148" s="1">
        <v>0</v>
      </c>
      <c r="DE148" s="1">
        <v>1</v>
      </c>
      <c r="DF148" s="1">
        <v>1</v>
      </c>
      <c r="DG148" s="1"/>
      <c r="DH148" s="1"/>
      <c r="DI148" s="1"/>
      <c r="DJ148" s="1"/>
      <c r="DK148" s="1"/>
      <c r="DL148" s="1"/>
      <c r="DM148" s="1"/>
      <c r="DN148" s="1"/>
      <c r="DO148" s="1"/>
      <c r="DP148" s="1">
        <v>3</v>
      </c>
      <c r="DQ148" s="1">
        <v>4</v>
      </c>
      <c r="DR148" s="1">
        <v>5</v>
      </c>
      <c r="DS148" s="1"/>
      <c r="DT148" s="1"/>
      <c r="DU148" s="1"/>
      <c r="DV148" s="1"/>
      <c r="DW148" s="1"/>
      <c r="DX148" s="1"/>
      <c r="DY148" s="1"/>
      <c r="DZ148" s="1"/>
      <c r="EA148" s="1"/>
    </row>
    <row r="149" spans="1:131" x14ac:dyDescent="0.3">
      <c r="A149">
        <v>9053532</v>
      </c>
      <c r="B149" s="1" t="s">
        <v>404</v>
      </c>
      <c r="C149" s="1" t="s">
        <v>139</v>
      </c>
      <c r="D149" s="1">
        <v>2018</v>
      </c>
      <c r="E149" s="1">
        <v>1</v>
      </c>
      <c r="F149" s="10">
        <f>Table3[[#This Row],[First season 
with SF]]+Table3[[#This Row],['# Services 
provided]]</f>
        <v>3</v>
      </c>
      <c r="G149" s="26">
        <f>(Table3[[#This Row],[Total Income 
(Race + Price 
sold + Offs - maintenance cost)]]-Table3[[#This Row],[Price 
Bought]])/Table3[[#This Row],[Price 
Bought]]</f>
        <v>0.2787997402597403</v>
      </c>
      <c r="H149" s="31">
        <f>Table3[[#This Row],[Race 
earnings]]+Table3[[#This Row],[Price 
Sold]]-Table3[[#This Row],[Maintenance cost]]+Table3[[#This Row],[Total 
profit (Income - cost)]]</f>
        <v>492337.9</v>
      </c>
      <c r="I149" s="3">
        <f>_xlfn.IFNA(VLOOKUP(Table3[[#This Row],[damId]],Sheet1!$A$2:$M$970,5, FALSE), VLOOKUP(Table3[[#This Row],[dam]],Sheet1!$B$2:$M$970,4, FALSE))</f>
        <v>0</v>
      </c>
      <c r="J149" s="3">
        <f>_xlfn.IFNA(VLOOKUP(Table3[[#This Row],[damId]],Sheet1!$A$2:$M$970,13, FALSE), VLOOKUP(Table3[[#This Row],[dam]],Sheet1!$B$2:$M$970,13, FALSE))</f>
        <v>15000</v>
      </c>
      <c r="K149" s="3">
        <f>_xlfn.IFNA(VLOOKUP(Table3[[#This Row],[damId]],Sheet1!$A$2:$M$970,11, FALSE), VLOOKUP(Table3[[#This Row],[dam]],Sheet1!$B$2:$M$970,11, FALSE))</f>
        <v>385000</v>
      </c>
      <c r="L149" s="3">
        <f>_xlfn.IFNA(VLOOKUP(Table3[[#This Row],[damId]],Sheet1!$A$2:$M$970,12, FALSE), VLOOKUP(Table3[[#This Row],[dam]],Sheet1!$B$2:$M$970,12, FALSE))</f>
        <v>400000</v>
      </c>
      <c r="M149" s="3">
        <f>_xlfn.IFNA(VLOOKUP(Table3[[#This Row],[damId]],Sheet1!$A$2:$T$970,20, FALSE), VLOOKUP(Table3[[#This Row],[dam]],Sheet1!$B$2:$T$970,20, FALSE))*Sheet1!$AD$3</f>
        <v>45041.100000000006</v>
      </c>
      <c r="N149" s="3">
        <f>Table3[[#This Row],[Total 
income (Earnings + value - stud fee)]]-Table3[[#This Row],[Maintenance cost ]]</f>
        <v>137379</v>
      </c>
      <c r="O149" s="3">
        <f>SUM(Table3[[#This Row],[income1]:[income12]])</f>
        <v>137379</v>
      </c>
      <c r="P149" s="3">
        <f>_xlfn.IFNA(VLOOKUP(Table3[[#This Row],[damId]],Sheet1!$A$2:$Y$970,23, FALSE), VLOOKUP(Table3[[#This Row],[dam]],Sheet1!$B$2:$Y$970,23, FALSE))*Sheet1!$AD$3</f>
        <v>0</v>
      </c>
      <c r="Q149" s="3">
        <f>SUM(Table3[[#This Row],[earningsInRaces1]:[earningsInRaces12]])</f>
        <v>0</v>
      </c>
      <c r="R149" s="3">
        <f>SUM(Table3[[#This Row],[auctionPrice1]:[auctionPrice12]])</f>
        <v>137379</v>
      </c>
      <c r="S149" s="3">
        <f>SUM(Table3[[#This Row],[studFeeUSD1]:[studFeeUSD12]])</f>
        <v>0</v>
      </c>
      <c r="T149" s="7">
        <f>COUNT(Table3[[#This Row],[successfulService1]:[successfulService12]])</f>
        <v>2</v>
      </c>
      <c r="U149" s="7">
        <f>SUM(Table3[[#This Row],[successfulService1]:[successfulService12]])</f>
        <v>1</v>
      </c>
      <c r="V149" s="7">
        <f>SUM(Table3[[#This Row],[soldInAuction1]:[soldInAuction12]])</f>
        <v>1</v>
      </c>
      <c r="W149" s="7">
        <f>SUM(Table3[[#This Row],[foreignHorse1]:[foreignHorse12]])</f>
        <v>1</v>
      </c>
      <c r="X149" s="3">
        <v>137379</v>
      </c>
      <c r="Y149" s="3">
        <v>0</v>
      </c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>
        <v>137379</v>
      </c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>
        <v>1</v>
      </c>
      <c r="CG149" s="1">
        <v>0</v>
      </c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>
        <v>1</v>
      </c>
      <c r="CS149" s="1">
        <v>0</v>
      </c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>
        <v>1</v>
      </c>
      <c r="DE149" s="1">
        <v>0</v>
      </c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>
        <v>1</v>
      </c>
      <c r="DQ149" s="1">
        <v>2</v>
      </c>
      <c r="DR149" s="1"/>
      <c r="DS149" s="1"/>
      <c r="DT149" s="1"/>
      <c r="DU149" s="1"/>
      <c r="DV149" s="1"/>
      <c r="DW149" s="1"/>
      <c r="DX149" s="1"/>
      <c r="DY149" s="1"/>
      <c r="DZ149" s="1"/>
      <c r="EA149" s="1"/>
    </row>
    <row r="150" spans="1:131" x14ac:dyDescent="0.3">
      <c r="A150">
        <v>9106714</v>
      </c>
      <c r="B150" s="1" t="s">
        <v>426</v>
      </c>
      <c r="C150" s="1" t="s">
        <v>139</v>
      </c>
      <c r="D150" s="1">
        <v>2018</v>
      </c>
      <c r="E150" s="1">
        <v>1</v>
      </c>
      <c r="F150" s="10">
        <f>Table3[[#This Row],[First season 
with SF]]+Table3[[#This Row],['# Services 
provided]]</f>
        <v>2</v>
      </c>
      <c r="G150" s="26">
        <f>(Table3[[#This Row],[Total Income 
(Race + Price 
sold + Offs - maintenance cost)]]-Table3[[#This Row],[Price 
Bought]])/Table3[[#This Row],[Price 
Bought]]</f>
        <v>0.80048349411764708</v>
      </c>
      <c r="H150" s="31">
        <f>Table3[[#This Row],[Race 
earnings]]+Table3[[#This Row],[Price 
Sold]]-Table3[[#This Row],[Maintenance cost]]+Table3[[#This Row],[Total 
profit (Income - cost)]]</f>
        <v>765205.48499999999</v>
      </c>
      <c r="I150" s="3">
        <f>_xlfn.IFNA(VLOOKUP(Table3[[#This Row],[damId]],Sheet1!$A$2:$M$970,5, FALSE), VLOOKUP(Table3[[#This Row],[dam]],Sheet1!$B$2:$M$970,4, FALSE))</f>
        <v>0</v>
      </c>
      <c r="J150" s="3">
        <f>_xlfn.IFNA(VLOOKUP(Table3[[#This Row],[damId]],Sheet1!$A$2:$M$970,13, FALSE), VLOOKUP(Table3[[#This Row],[dam]],Sheet1!$B$2:$M$970,13, FALSE))</f>
        <v>400000</v>
      </c>
      <c r="K150" s="3">
        <f>_xlfn.IFNA(VLOOKUP(Table3[[#This Row],[damId]],Sheet1!$A$2:$M$970,11, FALSE), VLOOKUP(Table3[[#This Row],[dam]],Sheet1!$B$2:$M$970,11, FALSE))</f>
        <v>425000</v>
      </c>
      <c r="L150" s="3">
        <f>_xlfn.IFNA(VLOOKUP(Table3[[#This Row],[damId]],Sheet1!$A$2:$M$970,12, FALSE), VLOOKUP(Table3[[#This Row],[dam]],Sheet1!$B$2:$M$970,12, FALSE))</f>
        <v>825000</v>
      </c>
      <c r="M150" s="3">
        <f>_xlfn.IFNA(VLOOKUP(Table3[[#This Row],[damId]],Sheet1!$A$2:$T$970,20, FALSE), VLOOKUP(Table3[[#This Row],[dam]],Sheet1!$B$2:$T$970,20, FALSE))*Sheet1!$AD$3</f>
        <v>29794.515000000003</v>
      </c>
      <c r="N150" s="3">
        <f>Table3[[#This Row],[Total 
income (Earnings + value - stud fee)]]-Table3[[#This Row],[Maintenance cost ]]</f>
        <v>-30000</v>
      </c>
      <c r="O150" s="3">
        <f>SUM(Table3[[#This Row],[income1]:[income12]])</f>
        <v>-30000</v>
      </c>
      <c r="P150" s="3">
        <f>_xlfn.IFNA(VLOOKUP(Table3[[#This Row],[damId]],Sheet1!$A$2:$Y$970,23, FALSE), VLOOKUP(Table3[[#This Row],[dam]],Sheet1!$B$2:$Y$970,23, FALSE))*Sheet1!$AD$3</f>
        <v>0</v>
      </c>
      <c r="Q150" s="3">
        <f>SUM(Table3[[#This Row],[earningsInRaces1]:[earningsInRaces12]])</f>
        <v>0</v>
      </c>
      <c r="R150" s="3">
        <f>SUM(Table3[[#This Row],[auctionPrice1]:[auctionPrice12]])</f>
        <v>0</v>
      </c>
      <c r="S150" s="3">
        <f>SUM(Table3[[#This Row],[studFeeUSD1]:[studFeeUSD12]])</f>
        <v>-30000</v>
      </c>
      <c r="T150" s="7">
        <f>COUNT(Table3[[#This Row],[successfulService1]:[successfulService12]])</f>
        <v>1</v>
      </c>
      <c r="U150" s="7">
        <f>SUM(Table3[[#This Row],[successfulService1]:[successfulService12]])</f>
        <v>1</v>
      </c>
      <c r="V150" s="7">
        <f>SUM(Table3[[#This Row],[soldInAuction1]:[soldInAuction12]])</f>
        <v>0</v>
      </c>
      <c r="W150" s="7">
        <f>SUM(Table3[[#This Row],[foreignHorse1]:[foreignHorse12]])</f>
        <v>0</v>
      </c>
      <c r="X150" s="3">
        <v>-30000</v>
      </c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>
        <v>-30000</v>
      </c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>
        <v>1</v>
      </c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>
        <v>0</v>
      </c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>
        <v>0</v>
      </c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>
        <v>1</v>
      </c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</row>
    <row r="151" spans="1:131" x14ac:dyDescent="0.3">
      <c r="A151">
        <v>9131686</v>
      </c>
      <c r="B151" s="1" t="s">
        <v>443</v>
      </c>
      <c r="C151" s="1" t="s">
        <v>139</v>
      </c>
      <c r="D151" s="1">
        <v>2018</v>
      </c>
      <c r="E151" s="1">
        <v>1</v>
      </c>
      <c r="F151" s="10">
        <f>Table3[[#This Row],[First season 
with SF]]+Table3[[#This Row],['# Services 
provided]]</f>
        <v>7</v>
      </c>
      <c r="G151" s="26">
        <f>(Table3[[#This Row],[Total Income 
(Race + Price 
sold + Offs - maintenance cost)]]-Table3[[#This Row],[Price 
Bought]])/Table3[[#This Row],[Price 
Bought]]</f>
        <v>-1.7335457057142856</v>
      </c>
      <c r="H151" s="31">
        <f>Table3[[#This Row],[Race 
earnings]]+Table3[[#This Row],[Price 
Sold]]-Table3[[#This Row],[Maintenance cost]]+Table3[[#This Row],[Total 
profit (Income - cost)]]</f>
        <v>-256740.99700000003</v>
      </c>
      <c r="I151" s="3">
        <f>_xlfn.IFNA(VLOOKUP(Table3[[#This Row],[damId]],Sheet1!$A$2:$M$970,5, FALSE), VLOOKUP(Table3[[#This Row],[dam]],Sheet1!$B$2:$M$970,4, FALSE))</f>
        <v>0</v>
      </c>
      <c r="J151" s="3">
        <f>_xlfn.IFNA(VLOOKUP(Table3[[#This Row],[damId]],Sheet1!$A$2:$M$970,13, FALSE), VLOOKUP(Table3[[#This Row],[dam]],Sheet1!$B$2:$M$970,13, FALSE))</f>
        <v>-350000</v>
      </c>
      <c r="K151" s="3">
        <f>_xlfn.IFNA(VLOOKUP(Table3[[#This Row],[damId]],Sheet1!$A$2:$M$970,11, FALSE), VLOOKUP(Table3[[#This Row],[dam]],Sheet1!$B$2:$M$970,11, FALSE))</f>
        <v>350000</v>
      </c>
      <c r="L151" s="3">
        <f>_xlfn.IFNA(VLOOKUP(Table3[[#This Row],[damId]],Sheet1!$A$2:$M$970,12, FALSE), VLOOKUP(Table3[[#This Row],[dam]],Sheet1!$B$2:$M$970,12, FALSE))</f>
        <v>0</v>
      </c>
      <c r="M151" s="3">
        <f>_xlfn.IFNA(VLOOKUP(Table3[[#This Row],[damId]],Sheet1!$A$2:$T$970,20, FALSE), VLOOKUP(Table3[[#This Row],[dam]],Sheet1!$B$2:$T$970,20, FALSE))*Sheet1!$AD$3</f>
        <v>139520.55000000002</v>
      </c>
      <c r="N151" s="3">
        <f>Table3[[#This Row],[Total 
income (Earnings + value - stud fee)]]-Table3[[#This Row],[Maintenance cost ]]</f>
        <v>-117220.44700000001</v>
      </c>
      <c r="O151" s="3">
        <f>SUM(Table3[[#This Row],[income1]:[income12]])</f>
        <v>-105425.92600000001</v>
      </c>
      <c r="P151" s="3">
        <f>_xlfn.IFNA(VLOOKUP(Table3[[#This Row],[damId]],Sheet1!$A$2:$Y$970,23, FALSE), VLOOKUP(Table3[[#This Row],[dam]],Sheet1!$B$2:$Y$970,23, FALSE))*Sheet1!$AD$3</f>
        <v>11794.521000000001</v>
      </c>
      <c r="Q151" s="3">
        <f>SUM(Table3[[#This Row],[earningsInRaces1]:[earningsInRaces12]])</f>
        <v>0</v>
      </c>
      <c r="R151" s="3">
        <f>SUM(Table3[[#This Row],[auctionPrice1]:[auctionPrice12]])</f>
        <v>155000</v>
      </c>
      <c r="S151" s="3">
        <f>SUM(Table3[[#This Row],[studFeeUSD1]:[studFeeUSD12]])</f>
        <v>-260425.93</v>
      </c>
      <c r="T151" s="7">
        <f>COUNT(Table3[[#This Row],[successfulService1]:[successfulService12]])</f>
        <v>6</v>
      </c>
      <c r="U151" s="7">
        <f>SUM(Table3[[#This Row],[successfulService1]:[successfulService12]])</f>
        <v>3</v>
      </c>
      <c r="V151" s="7">
        <f>SUM(Table3[[#This Row],[soldInAuction1]:[soldInAuction12]])</f>
        <v>2</v>
      </c>
      <c r="W151" s="7">
        <f>SUM(Table3[[#This Row],[foreignHorse1]:[foreignHorse12]])</f>
        <v>0</v>
      </c>
      <c r="X151" s="3">
        <v>-25000</v>
      </c>
      <c r="Y151" s="3">
        <v>-110000</v>
      </c>
      <c r="Z151" s="3">
        <v>-2925.9259999999999</v>
      </c>
      <c r="AA151" s="3">
        <v>-40000</v>
      </c>
      <c r="AB151" s="3">
        <v>102500</v>
      </c>
      <c r="AC151" s="3">
        <v>-30000</v>
      </c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>
        <v>0</v>
      </c>
      <c r="AO151" s="3"/>
      <c r="AP151" s="3"/>
      <c r="AQ151" s="3"/>
      <c r="AR151" s="3"/>
      <c r="AS151" s="3"/>
      <c r="AT151" s="3"/>
      <c r="AU151" s="3"/>
      <c r="AV151" s="3"/>
      <c r="AW151" s="3"/>
      <c r="AX151" s="3">
        <v>30000</v>
      </c>
      <c r="AY151" s="3"/>
      <c r="AZ151" s="3">
        <v>125000</v>
      </c>
      <c r="BA151" s="3"/>
      <c r="BB151" s="3"/>
      <c r="BC151" s="3"/>
      <c r="BD151" s="3"/>
      <c r="BE151" s="3"/>
      <c r="BF151" s="3"/>
      <c r="BG151" s="3"/>
      <c r="BH151" s="3">
        <v>-25000</v>
      </c>
      <c r="BI151" s="3">
        <v>-110000</v>
      </c>
      <c r="BJ151" s="3">
        <v>-32925.93</v>
      </c>
      <c r="BK151" s="3">
        <v>-40000</v>
      </c>
      <c r="BL151" s="3">
        <v>-22500</v>
      </c>
      <c r="BM151" s="3">
        <v>-30000</v>
      </c>
      <c r="BN151" s="3"/>
      <c r="BO151" s="3"/>
      <c r="BP151" s="3"/>
      <c r="BQ151" s="3"/>
      <c r="BR151" s="3"/>
      <c r="BS151" s="3"/>
      <c r="BT151" s="1"/>
      <c r="BU151" s="1"/>
      <c r="BV151" s="1"/>
      <c r="BW151" s="1"/>
      <c r="BX151" s="1">
        <v>0</v>
      </c>
      <c r="BY151" s="1"/>
      <c r="BZ151" s="1"/>
      <c r="CA151" s="1"/>
      <c r="CB151" s="1"/>
      <c r="CC151" s="1"/>
      <c r="CD151" s="1"/>
      <c r="CE151" s="1"/>
      <c r="CF151" s="1">
        <v>0</v>
      </c>
      <c r="CG151" s="1">
        <v>0</v>
      </c>
      <c r="CH151" s="1">
        <v>1</v>
      </c>
      <c r="CI151" s="1">
        <v>0</v>
      </c>
      <c r="CJ151" s="1">
        <v>1</v>
      </c>
      <c r="CK151" s="1">
        <v>1</v>
      </c>
      <c r="CL151" s="1"/>
      <c r="CM151" s="1"/>
      <c r="CN151" s="1"/>
      <c r="CO151" s="1"/>
      <c r="CP151" s="1"/>
      <c r="CQ151" s="1"/>
      <c r="CR151" s="1">
        <v>0</v>
      </c>
      <c r="CS151" s="1">
        <v>0</v>
      </c>
      <c r="CT151" s="1">
        <v>1</v>
      </c>
      <c r="CU151" s="1">
        <v>0</v>
      </c>
      <c r="CV151" s="1">
        <v>1</v>
      </c>
      <c r="CW151" s="1">
        <v>0</v>
      </c>
      <c r="CX151" s="1"/>
      <c r="CY151" s="1"/>
      <c r="CZ151" s="1"/>
      <c r="DA151" s="1"/>
      <c r="DB151" s="1"/>
      <c r="DC151" s="1"/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/>
      <c r="DK151" s="1"/>
      <c r="DL151" s="1"/>
      <c r="DM151" s="1"/>
      <c r="DN151" s="1"/>
      <c r="DO151" s="1"/>
      <c r="DP151" s="1">
        <v>1</v>
      </c>
      <c r="DQ151" s="1">
        <v>2</v>
      </c>
      <c r="DR151" s="1">
        <v>3</v>
      </c>
      <c r="DS151" s="1">
        <v>4</v>
      </c>
      <c r="DT151" s="1">
        <v>5</v>
      </c>
      <c r="DU151" s="1">
        <v>6</v>
      </c>
      <c r="DV151" s="1"/>
      <c r="DW151" s="1"/>
      <c r="DX151" s="1"/>
      <c r="DY151" s="1"/>
      <c r="DZ151" s="1"/>
      <c r="EA151" s="1"/>
    </row>
    <row r="152" spans="1:131" x14ac:dyDescent="0.3">
      <c r="A152">
        <v>9270881</v>
      </c>
      <c r="B152" s="1" t="s">
        <v>468</v>
      </c>
      <c r="C152" s="1" t="s">
        <v>24</v>
      </c>
      <c r="D152" s="1">
        <v>2018</v>
      </c>
      <c r="E152" s="1">
        <v>1</v>
      </c>
      <c r="F152" s="10">
        <f>Table3[[#This Row],[First season 
with SF]]+Table3[[#This Row],['# Services 
provided]]</f>
        <v>3</v>
      </c>
      <c r="G152" s="26">
        <f>(Table3[[#This Row],[Total Income 
(Race + Price 
sold + Offs - maintenance cost)]]-Table3[[#This Row],[Price 
Bought]])/Table3[[#This Row],[Price 
Bought]]</f>
        <v>-0.65670837142857152</v>
      </c>
      <c r="H152" s="31">
        <f>Table3[[#This Row],[Race 
earnings]]+Table3[[#This Row],[Price 
Sold]]-Table3[[#This Row],[Maintenance cost]]+Table3[[#This Row],[Total 
profit (Income - cost)]]</f>
        <v>48060.827999999994</v>
      </c>
      <c r="I152" s="3">
        <f>_xlfn.IFNA(VLOOKUP(Table3[[#This Row],[damId]],Sheet1!$A$2:$M$970,5, FALSE), VLOOKUP(Table3[[#This Row],[dam]],Sheet1!$B$2:$M$970,4, FALSE))</f>
        <v>0</v>
      </c>
      <c r="J152" s="3">
        <f>_xlfn.IFNA(VLOOKUP(Table3[[#This Row],[damId]],Sheet1!$A$2:$M$970,13, FALSE), VLOOKUP(Table3[[#This Row],[dam]],Sheet1!$B$2:$M$970,13, FALSE))</f>
        <v>-84720</v>
      </c>
      <c r="K152" s="3">
        <f>_xlfn.IFNA(VLOOKUP(Table3[[#This Row],[damId]],Sheet1!$A$2:$M$970,11, FALSE), VLOOKUP(Table3[[#This Row],[dam]],Sheet1!$B$2:$M$970,11, FALSE))</f>
        <v>140000</v>
      </c>
      <c r="L152" s="3">
        <f>_xlfn.IFNA(VLOOKUP(Table3[[#This Row],[damId]],Sheet1!$A$2:$M$970,12, FALSE), VLOOKUP(Table3[[#This Row],[dam]],Sheet1!$B$2:$M$970,12, FALSE))</f>
        <v>55280</v>
      </c>
      <c r="M152" s="3">
        <f>_xlfn.IFNA(VLOOKUP(Table3[[#This Row],[damId]],Sheet1!$A$2:$T$970,20, FALSE), VLOOKUP(Table3[[#This Row],[dam]],Sheet1!$B$2:$T$970,20, FALSE))*Sheet1!$AD$3</f>
        <v>23342.460000000003</v>
      </c>
      <c r="N152" s="3">
        <f>Table3[[#This Row],[Total 
income (Earnings + value - stud fee)]]-Table3[[#This Row],[Maintenance cost ]]</f>
        <v>16123.288</v>
      </c>
      <c r="O152" s="3">
        <f>SUM(Table3[[#This Row],[income1]:[income12]])</f>
        <v>25000</v>
      </c>
      <c r="P152" s="3">
        <f>_xlfn.IFNA(VLOOKUP(Table3[[#This Row],[damId]],Sheet1!$A$2:$Y$970,23, FALSE), VLOOKUP(Table3[[#This Row],[dam]],Sheet1!$B$2:$Y$970,23, FALSE))*Sheet1!$AD$3</f>
        <v>8876.7119999999995</v>
      </c>
      <c r="Q152" s="3">
        <f>SUM(Table3[[#This Row],[earningsInRaces1]:[earningsInRaces12]])</f>
        <v>0</v>
      </c>
      <c r="R152" s="3">
        <f>SUM(Table3[[#This Row],[auctionPrice1]:[auctionPrice12]])</f>
        <v>25000</v>
      </c>
      <c r="S152" s="3">
        <f>SUM(Table3[[#This Row],[studFeeUSD1]:[studFeeUSD12]])</f>
        <v>0</v>
      </c>
      <c r="T152" s="7">
        <f>COUNT(Table3[[#This Row],[successfulService1]:[successfulService12]])</f>
        <v>2</v>
      </c>
      <c r="U152" s="7">
        <f>SUM(Table3[[#This Row],[successfulService1]:[successfulService12]])</f>
        <v>2</v>
      </c>
      <c r="V152" s="7">
        <f>SUM(Table3[[#This Row],[soldInAuction1]:[soldInAuction12]])</f>
        <v>1</v>
      </c>
      <c r="W152" s="7">
        <f>SUM(Table3[[#This Row],[foreignHorse1]:[foreignHorse12]])</f>
        <v>0</v>
      </c>
      <c r="X152" s="3">
        <v>25000</v>
      </c>
      <c r="Y152" s="3">
        <v>0</v>
      </c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>
        <v>0</v>
      </c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>
        <v>25000</v>
      </c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>
        <v>0</v>
      </c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1">
        <v>0</v>
      </c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>
        <v>1</v>
      </c>
      <c r="CG152" s="1">
        <v>1</v>
      </c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>
        <v>1</v>
      </c>
      <c r="CS152" s="1">
        <v>0</v>
      </c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>
        <v>0</v>
      </c>
      <c r="DE152" s="1">
        <v>0</v>
      </c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>
        <v>1</v>
      </c>
      <c r="DQ152" s="1">
        <v>2</v>
      </c>
      <c r="DR152" s="1"/>
      <c r="DS152" s="1"/>
      <c r="DT152" s="1"/>
      <c r="DU152" s="1"/>
      <c r="DV152" s="1"/>
      <c r="DW152" s="1"/>
      <c r="DX152" s="1"/>
      <c r="DY152" s="1"/>
      <c r="DZ152" s="1"/>
      <c r="EA152" s="1"/>
    </row>
    <row r="153" spans="1:131" x14ac:dyDescent="0.3">
      <c r="A153">
        <v>9310367</v>
      </c>
      <c r="B153" s="1" t="s">
        <v>493</v>
      </c>
      <c r="C153" s="1" t="s">
        <v>139</v>
      </c>
      <c r="D153" s="1">
        <v>2018</v>
      </c>
      <c r="E153" s="1">
        <v>1</v>
      </c>
      <c r="F153" s="10">
        <f>Table3[[#This Row],[First season 
with SF]]+Table3[[#This Row],['# Services 
provided]]</f>
        <v>6</v>
      </c>
      <c r="G153" s="26">
        <f>(Table3[[#This Row],[Total Income 
(Race + Price 
sold + Offs - maintenance cost)]]-Table3[[#This Row],[Price 
Bought]])/Table3[[#This Row],[Price 
Bought]]</f>
        <v>2.3520460571428576</v>
      </c>
      <c r="H153" s="31">
        <f>Table3[[#This Row],[Race 
earnings]]+Table3[[#This Row],[Price 
Sold]]-Table3[[#This Row],[Maintenance cost]]+Table3[[#This Row],[Total 
profit (Income - cost)]]</f>
        <v>1173216.1200000001</v>
      </c>
      <c r="I153" s="3">
        <f>_xlfn.IFNA(VLOOKUP(Table3[[#This Row],[damId]],Sheet1!$A$2:$M$970,5, FALSE), VLOOKUP(Table3[[#This Row],[dam]],Sheet1!$B$2:$M$970,4, FALSE))</f>
        <v>0</v>
      </c>
      <c r="J153" s="3">
        <f>_xlfn.IFNA(VLOOKUP(Table3[[#This Row],[damId]],Sheet1!$A$2:$M$970,13, FALSE), VLOOKUP(Table3[[#This Row],[dam]],Sheet1!$B$2:$M$970,13, FALSE))</f>
        <v>-350000</v>
      </c>
      <c r="K153" s="3">
        <f>_xlfn.IFNA(VLOOKUP(Table3[[#This Row],[damId]],Sheet1!$A$2:$M$970,11, FALSE), VLOOKUP(Table3[[#This Row],[dam]],Sheet1!$B$2:$M$970,11, FALSE))</f>
        <v>350000</v>
      </c>
      <c r="L153" s="3">
        <f>_xlfn.IFNA(VLOOKUP(Table3[[#This Row],[damId]],Sheet1!$A$2:$M$970,12, FALSE), VLOOKUP(Table3[[#This Row],[dam]],Sheet1!$B$2:$M$970,12, FALSE))</f>
        <v>0</v>
      </c>
      <c r="M153" s="3">
        <f>_xlfn.IFNA(VLOOKUP(Table3[[#This Row],[damId]],Sheet1!$A$2:$T$970,20, FALSE), VLOOKUP(Table3[[#This Row],[dam]],Sheet1!$B$2:$T$970,20, FALSE))*Sheet1!$AD$3</f>
        <v>124232.88</v>
      </c>
      <c r="N153" s="3">
        <f>Table3[[#This Row],[Total 
income (Earnings + value - stud fee)]]-Table3[[#This Row],[Maintenance cost ]]</f>
        <v>1297449</v>
      </c>
      <c r="O153" s="3">
        <f>SUM(Table3[[#This Row],[income1]:[income12]])</f>
        <v>1297449</v>
      </c>
      <c r="P153" s="3">
        <f>_xlfn.IFNA(VLOOKUP(Table3[[#This Row],[damId]],Sheet1!$A$2:$Y$970,23, FALSE), VLOOKUP(Table3[[#This Row],[dam]],Sheet1!$B$2:$Y$970,23, FALSE))*Sheet1!$AD$3</f>
        <v>0</v>
      </c>
      <c r="Q153" s="3">
        <f>SUM(Table3[[#This Row],[earningsInRaces1]:[earningsInRaces12]])</f>
        <v>0</v>
      </c>
      <c r="R153" s="3">
        <f>SUM(Table3[[#This Row],[auctionPrice1]:[auctionPrice12]])</f>
        <v>1297449</v>
      </c>
      <c r="S153" s="3">
        <f>SUM(Table3[[#This Row],[studFeeUSD1]:[studFeeUSD12]])</f>
        <v>0</v>
      </c>
      <c r="T153" s="7">
        <f>COUNT(Table3[[#This Row],[successfulService1]:[successfulService12]])</f>
        <v>5</v>
      </c>
      <c r="U153" s="7">
        <f>SUM(Table3[[#This Row],[successfulService1]:[successfulService12]])</f>
        <v>5</v>
      </c>
      <c r="V153" s="7">
        <f>SUM(Table3[[#This Row],[soldInAuction1]:[soldInAuction12]])</f>
        <v>4</v>
      </c>
      <c r="W153" s="7">
        <f>SUM(Table3[[#This Row],[foreignHorse1]:[foreignHorse12]])</f>
        <v>4</v>
      </c>
      <c r="X153" s="3">
        <v>106814</v>
      </c>
      <c r="Y153" s="3">
        <v>200082</v>
      </c>
      <c r="Z153" s="3">
        <v>728112</v>
      </c>
      <c r="AA153" s="3">
        <v>262441</v>
      </c>
      <c r="AB153" s="3">
        <v>0</v>
      </c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>
        <v>106814</v>
      </c>
      <c r="AW153" s="3">
        <v>200082</v>
      </c>
      <c r="AX153" s="3">
        <v>728112</v>
      </c>
      <c r="AY153" s="3">
        <v>262441</v>
      </c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>
        <v>1</v>
      </c>
      <c r="CG153" s="1">
        <v>1</v>
      </c>
      <c r="CH153" s="1">
        <v>1</v>
      </c>
      <c r="CI153" s="1">
        <v>1</v>
      </c>
      <c r="CJ153" s="1">
        <v>1</v>
      </c>
      <c r="CK153" s="1"/>
      <c r="CL153" s="1"/>
      <c r="CM153" s="1"/>
      <c r="CN153" s="1"/>
      <c r="CO153" s="1"/>
      <c r="CP153" s="1"/>
      <c r="CQ153" s="1"/>
      <c r="CR153" s="1">
        <v>1</v>
      </c>
      <c r="CS153" s="1">
        <v>1</v>
      </c>
      <c r="CT153" s="1">
        <v>1</v>
      </c>
      <c r="CU153" s="1">
        <v>1</v>
      </c>
      <c r="CV153" s="1">
        <v>0</v>
      </c>
      <c r="CW153" s="1"/>
      <c r="CX153" s="1"/>
      <c r="CY153" s="1"/>
      <c r="CZ153" s="1"/>
      <c r="DA153" s="1"/>
      <c r="DB153" s="1"/>
      <c r="DC153" s="1"/>
      <c r="DD153" s="1">
        <v>1</v>
      </c>
      <c r="DE153" s="1">
        <v>1</v>
      </c>
      <c r="DF153" s="1">
        <v>1</v>
      </c>
      <c r="DG153" s="1">
        <v>1</v>
      </c>
      <c r="DH153" s="1">
        <v>0</v>
      </c>
      <c r="DI153" s="1"/>
      <c r="DJ153" s="1"/>
      <c r="DK153" s="1"/>
      <c r="DL153" s="1"/>
      <c r="DM153" s="1"/>
      <c r="DN153" s="1"/>
      <c r="DO153" s="1"/>
      <c r="DP153" s="1">
        <v>1</v>
      </c>
      <c r="DQ153" s="1">
        <v>2</v>
      </c>
      <c r="DR153" s="1">
        <v>3</v>
      </c>
      <c r="DS153" s="1">
        <v>4</v>
      </c>
      <c r="DT153" s="1">
        <v>6</v>
      </c>
      <c r="DU153" s="1"/>
      <c r="DV153" s="1"/>
      <c r="DW153" s="1"/>
      <c r="DX153" s="1"/>
      <c r="DY153" s="1"/>
      <c r="DZ153" s="1"/>
      <c r="EA153" s="1"/>
    </row>
    <row r="154" spans="1:131" x14ac:dyDescent="0.3">
      <c r="A154">
        <v>9316111</v>
      </c>
      <c r="B154" s="1" t="s">
        <v>499</v>
      </c>
      <c r="C154" s="1" t="s">
        <v>139</v>
      </c>
      <c r="D154" s="1">
        <v>2018</v>
      </c>
      <c r="E154" s="1">
        <v>1</v>
      </c>
      <c r="F154" s="10">
        <f>Table3[[#This Row],[First season 
with SF]]+Table3[[#This Row],['# Services 
provided]]</f>
        <v>6</v>
      </c>
      <c r="G154" s="26">
        <f>(Table3[[#This Row],[Total Income 
(Race + Price 
sold + Offs - maintenance cost)]]-Table3[[#This Row],[Price 
Bought]])/Table3[[#This Row],[Price 
Bought]]</f>
        <v>-0.73627994285714293</v>
      </c>
      <c r="H154" s="31">
        <f>Table3[[#This Row],[Race 
earnings]]+Table3[[#This Row],[Price 
Sold]]-Table3[[#This Row],[Maintenance cost]]+Table3[[#This Row],[Total 
profit (Income - cost)]]</f>
        <v>92302.01999999999</v>
      </c>
      <c r="I154" s="3">
        <f>_xlfn.IFNA(VLOOKUP(Table3[[#This Row],[damId]],Sheet1!$A$2:$M$970,5, FALSE), VLOOKUP(Table3[[#This Row],[dam]],Sheet1!$B$2:$M$970,4, FALSE))</f>
        <v>0</v>
      </c>
      <c r="J154" s="3">
        <f>_xlfn.IFNA(VLOOKUP(Table3[[#This Row],[damId]],Sheet1!$A$2:$M$970,13, FALSE), VLOOKUP(Table3[[#This Row],[dam]],Sheet1!$B$2:$M$970,13, FALSE))</f>
        <v>-350000</v>
      </c>
      <c r="K154" s="3">
        <f>_xlfn.IFNA(VLOOKUP(Table3[[#This Row],[damId]],Sheet1!$A$2:$M$970,11, FALSE), VLOOKUP(Table3[[#This Row],[dam]],Sheet1!$B$2:$M$970,11, FALSE))</f>
        <v>350000</v>
      </c>
      <c r="L154" s="3">
        <f>_xlfn.IFNA(VLOOKUP(Table3[[#This Row],[damId]],Sheet1!$A$2:$M$970,12, FALSE), VLOOKUP(Table3[[#This Row],[dam]],Sheet1!$B$2:$M$970,12, FALSE))</f>
        <v>0</v>
      </c>
      <c r="M154" s="3">
        <f>_xlfn.IFNA(VLOOKUP(Table3[[#This Row],[damId]],Sheet1!$A$2:$T$970,20, FALSE), VLOOKUP(Table3[[#This Row],[dam]],Sheet1!$B$2:$T$970,20, FALSE))*Sheet1!$AD$3</f>
        <v>124232.88</v>
      </c>
      <c r="N154" s="3">
        <f>Table3[[#This Row],[Total 
income (Earnings + value - stud fee)]]-Table3[[#This Row],[Maintenance cost ]]</f>
        <v>216534.9</v>
      </c>
      <c r="O154" s="3">
        <f>SUM(Table3[[#This Row],[income1]:[income12]])</f>
        <v>216534.9</v>
      </c>
      <c r="P154" s="3">
        <f>_xlfn.IFNA(VLOOKUP(Table3[[#This Row],[damId]],Sheet1!$A$2:$Y$970,23, FALSE), VLOOKUP(Table3[[#This Row],[dam]],Sheet1!$B$2:$Y$970,23, FALSE))*Sheet1!$AD$3</f>
        <v>0</v>
      </c>
      <c r="Q154" s="3">
        <f>SUM(Table3[[#This Row],[earningsInRaces1]:[earningsInRaces12]])</f>
        <v>0</v>
      </c>
      <c r="R154" s="3">
        <f>SUM(Table3[[#This Row],[auctionPrice1]:[auctionPrice12]])</f>
        <v>257646</v>
      </c>
      <c r="S154" s="3">
        <f>SUM(Table3[[#This Row],[studFeeUSD1]:[studFeeUSD12]])</f>
        <v>-41111.11</v>
      </c>
      <c r="T154" s="7">
        <f>COUNT(Table3[[#This Row],[successfulService1]:[successfulService12]])</f>
        <v>5</v>
      </c>
      <c r="U154" s="7">
        <f>SUM(Table3[[#This Row],[successfulService1]:[successfulService12]])</f>
        <v>4</v>
      </c>
      <c r="V154" s="7">
        <f>SUM(Table3[[#This Row],[soldInAuction1]:[soldInAuction12]])</f>
        <v>1</v>
      </c>
      <c r="W154" s="7">
        <f>SUM(Table3[[#This Row],[foreignHorse1]:[foreignHorse12]])</f>
        <v>2</v>
      </c>
      <c r="X154" s="3">
        <v>0</v>
      </c>
      <c r="Y154" s="3">
        <v>216534.9</v>
      </c>
      <c r="Z154" s="3">
        <v>0</v>
      </c>
      <c r="AA154" s="3">
        <v>0</v>
      </c>
      <c r="AB154" s="3">
        <v>0</v>
      </c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>
        <v>257646</v>
      </c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>
        <v>-41111.11</v>
      </c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>
        <v>1</v>
      </c>
      <c r="CG154" s="1">
        <v>1</v>
      </c>
      <c r="CH154" s="1">
        <v>0</v>
      </c>
      <c r="CI154" s="1">
        <v>1</v>
      </c>
      <c r="CJ154" s="1">
        <v>1</v>
      </c>
      <c r="CK154" s="1"/>
      <c r="CL154" s="1"/>
      <c r="CM154" s="1"/>
      <c r="CN154" s="1"/>
      <c r="CO154" s="1"/>
      <c r="CP154" s="1"/>
      <c r="CQ154" s="1"/>
      <c r="CR154" s="1">
        <v>0</v>
      </c>
      <c r="CS154" s="1">
        <v>1</v>
      </c>
      <c r="CT154" s="1">
        <v>0</v>
      </c>
      <c r="CU154" s="1">
        <v>0</v>
      </c>
      <c r="CV154" s="1">
        <v>0</v>
      </c>
      <c r="CW154" s="1"/>
      <c r="CX154" s="1"/>
      <c r="CY154" s="1"/>
      <c r="CZ154" s="1"/>
      <c r="DA154" s="1"/>
      <c r="DB154" s="1"/>
      <c r="DC154" s="1"/>
      <c r="DD154" s="1">
        <v>1</v>
      </c>
      <c r="DE154" s="1">
        <v>1</v>
      </c>
      <c r="DF154" s="1">
        <v>0</v>
      </c>
      <c r="DG154" s="1">
        <v>0</v>
      </c>
      <c r="DH154" s="1">
        <v>0</v>
      </c>
      <c r="DI154" s="1"/>
      <c r="DJ154" s="1"/>
      <c r="DK154" s="1"/>
      <c r="DL154" s="1"/>
      <c r="DM154" s="1"/>
      <c r="DN154" s="1"/>
      <c r="DO154" s="1"/>
      <c r="DP154" s="1">
        <v>1</v>
      </c>
      <c r="DQ154" s="1">
        <v>3</v>
      </c>
      <c r="DR154" s="1">
        <v>4</v>
      </c>
      <c r="DS154" s="1">
        <v>5</v>
      </c>
      <c r="DT154" s="1">
        <v>6</v>
      </c>
      <c r="DU154" s="1"/>
      <c r="DV154" s="1"/>
      <c r="DW154" s="1"/>
      <c r="DX154" s="1"/>
      <c r="DY154" s="1"/>
      <c r="DZ154" s="1"/>
      <c r="EA154" s="1"/>
    </row>
    <row r="155" spans="1:131" x14ac:dyDescent="0.3">
      <c r="A155">
        <v>9319611</v>
      </c>
      <c r="B155" s="1" t="s">
        <v>506</v>
      </c>
      <c r="C155" s="1" t="s">
        <v>139</v>
      </c>
      <c r="D155" s="1">
        <v>2018</v>
      </c>
      <c r="E155" s="1">
        <v>1</v>
      </c>
      <c r="F155" s="10">
        <f>Table3[[#This Row],[First season 
with SF]]+Table3[[#This Row],['# Services 
provided]]</f>
        <v>3</v>
      </c>
      <c r="G155" s="26">
        <f>(Table3[[#This Row],[Total Income 
(Race + Price 
sold + Offs - maintenance cost)]]-Table3[[#This Row],[Price 
Bought]])/Table3[[#This Row],[Price 
Bought]]</f>
        <v>0.51758300000000002</v>
      </c>
      <c r="H155" s="31">
        <f>Table3[[#This Row],[Race 
earnings]]+Table3[[#This Row],[Price 
Sold]]-Table3[[#This Row],[Maintenance cost]]+Table3[[#This Row],[Total 
profit (Income - cost)]]</f>
        <v>83467.065000000002</v>
      </c>
      <c r="I155" s="3">
        <f>_xlfn.IFNA(VLOOKUP(Table3[[#This Row],[damId]],Sheet1!$A$2:$M$970,5, FALSE), VLOOKUP(Table3[[#This Row],[dam]],Sheet1!$B$2:$M$970,4, FALSE))</f>
        <v>0</v>
      </c>
      <c r="J155" s="3">
        <f>_xlfn.IFNA(VLOOKUP(Table3[[#This Row],[damId]],Sheet1!$A$2:$M$970,13, FALSE), VLOOKUP(Table3[[#This Row],[dam]],Sheet1!$B$2:$M$970,13, FALSE))</f>
        <v>111152</v>
      </c>
      <c r="K155" s="3">
        <f>_xlfn.IFNA(VLOOKUP(Table3[[#This Row],[damId]],Sheet1!$A$2:$M$970,11, FALSE), VLOOKUP(Table3[[#This Row],[dam]],Sheet1!$B$2:$M$970,11, FALSE))</f>
        <v>55000</v>
      </c>
      <c r="L155" s="3">
        <f>_xlfn.IFNA(VLOOKUP(Table3[[#This Row],[damId]],Sheet1!$A$2:$M$970,12, FALSE), VLOOKUP(Table3[[#This Row],[dam]],Sheet1!$B$2:$M$970,12, FALSE))</f>
        <v>166152</v>
      </c>
      <c r="M155" s="3">
        <f>_xlfn.IFNA(VLOOKUP(Table3[[#This Row],[damId]],Sheet1!$A$2:$T$970,20, FALSE), VLOOKUP(Table3[[#This Row],[dam]],Sheet1!$B$2:$T$970,20, FALSE))*Sheet1!$AD$3</f>
        <v>43232.88</v>
      </c>
      <c r="N155" s="3">
        <f>Table3[[#This Row],[Total 
income (Earnings + value - stud fee)]]-Table3[[#This Row],[Maintenance cost ]]</f>
        <v>-39452.055</v>
      </c>
      <c r="O155" s="3">
        <f>SUM(Table3[[#This Row],[income1]:[income12]])</f>
        <v>-15000</v>
      </c>
      <c r="P155" s="3">
        <f>_xlfn.IFNA(VLOOKUP(Table3[[#This Row],[damId]],Sheet1!$A$2:$Y$970,23, FALSE), VLOOKUP(Table3[[#This Row],[dam]],Sheet1!$B$2:$Y$970,23, FALSE))*Sheet1!$AD$3</f>
        <v>24452.055</v>
      </c>
      <c r="Q155" s="3">
        <f>SUM(Table3[[#This Row],[earningsInRaces1]:[earningsInRaces12]])</f>
        <v>0</v>
      </c>
      <c r="R155" s="3">
        <f>SUM(Table3[[#This Row],[auctionPrice1]:[auctionPrice12]])</f>
        <v>35000</v>
      </c>
      <c r="S155" s="3">
        <f>SUM(Table3[[#This Row],[studFeeUSD1]:[studFeeUSD12]])</f>
        <v>-50000</v>
      </c>
      <c r="T155" s="7">
        <f>COUNT(Table3[[#This Row],[successfulService1]:[successfulService12]])</f>
        <v>2</v>
      </c>
      <c r="U155" s="7">
        <f>SUM(Table3[[#This Row],[successfulService1]:[successfulService12]])</f>
        <v>2</v>
      </c>
      <c r="V155" s="7">
        <f>SUM(Table3[[#This Row],[soldInAuction1]:[soldInAuction12]])</f>
        <v>1</v>
      </c>
      <c r="W155" s="7">
        <f>SUM(Table3[[#This Row],[foreignHorse1]:[foreignHorse12]])</f>
        <v>1</v>
      </c>
      <c r="X155" s="3">
        <v>-15000</v>
      </c>
      <c r="Y155" s="3">
        <v>0</v>
      </c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>
        <v>0</v>
      </c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>
        <v>35000</v>
      </c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>
        <v>-50000</v>
      </c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1">
        <v>0</v>
      </c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>
        <v>1</v>
      </c>
      <c r="CG155" s="1">
        <v>1</v>
      </c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>
        <v>1</v>
      </c>
      <c r="CS155" s="1">
        <v>0</v>
      </c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>
        <v>0</v>
      </c>
      <c r="DE155" s="1">
        <v>1</v>
      </c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>
        <v>1</v>
      </c>
      <c r="DQ155" s="1">
        <v>2</v>
      </c>
      <c r="DR155" s="1"/>
      <c r="DS155" s="1"/>
      <c r="DT155" s="1"/>
      <c r="DU155" s="1"/>
      <c r="DV155" s="1"/>
      <c r="DW155" s="1"/>
      <c r="DX155" s="1"/>
      <c r="DY155" s="1"/>
      <c r="DZ155" s="1"/>
      <c r="EA155" s="1"/>
    </row>
    <row r="156" spans="1:131" x14ac:dyDescent="0.3">
      <c r="A156">
        <v>9343906</v>
      </c>
      <c r="B156" s="1" t="s">
        <v>530</v>
      </c>
      <c r="C156" s="1" t="s">
        <v>139</v>
      </c>
      <c r="D156" s="1">
        <v>2018</v>
      </c>
      <c r="E156" s="1">
        <v>1</v>
      </c>
      <c r="F156" s="10">
        <f>Table3[[#This Row],[First season 
with SF]]+Table3[[#This Row],['# Services 
provided]]</f>
        <v>8</v>
      </c>
      <c r="G156" s="26">
        <f>(Table3[[#This Row],[Total Income 
(Race + Price 
sold + Offs - maintenance cost)]]-Table3[[#This Row],[Price 
Bought]])/Table3[[#This Row],[Price 
Bought]]</f>
        <v>1.2025867837837838</v>
      </c>
      <c r="H156" s="31">
        <f>Table3[[#This Row],[Race 
earnings]]+Table3[[#This Row],[Price 
Sold]]-Table3[[#This Row],[Maintenance cost]]+Table3[[#This Row],[Total 
profit (Income - cost)]]</f>
        <v>814957.11</v>
      </c>
      <c r="I156" s="3">
        <f>_xlfn.IFNA(VLOOKUP(Table3[[#This Row],[damId]],Sheet1!$A$2:$M$970,5, FALSE), VLOOKUP(Table3[[#This Row],[dam]],Sheet1!$B$2:$M$970,4, FALSE))</f>
        <v>0</v>
      </c>
      <c r="J156" s="3">
        <f>_xlfn.IFNA(VLOOKUP(Table3[[#This Row],[damId]],Sheet1!$A$2:$M$970,13, FALSE), VLOOKUP(Table3[[#This Row],[dam]],Sheet1!$B$2:$M$970,13, FALSE))</f>
        <v>-370000</v>
      </c>
      <c r="K156" s="3">
        <f>_xlfn.IFNA(VLOOKUP(Table3[[#This Row],[damId]],Sheet1!$A$2:$M$970,11, FALSE), VLOOKUP(Table3[[#This Row],[dam]],Sheet1!$B$2:$M$970,11, FALSE))</f>
        <v>370000</v>
      </c>
      <c r="L156" s="3">
        <f>_xlfn.IFNA(VLOOKUP(Table3[[#This Row],[damId]],Sheet1!$A$2:$M$970,12, FALSE), VLOOKUP(Table3[[#This Row],[dam]],Sheet1!$B$2:$M$970,12, FALSE))</f>
        <v>0</v>
      </c>
      <c r="M156" s="3">
        <f>_xlfn.IFNA(VLOOKUP(Table3[[#This Row],[damId]],Sheet1!$A$2:$T$970,20, FALSE), VLOOKUP(Table3[[#This Row],[dam]],Sheet1!$B$2:$T$970,20, FALSE))*Sheet1!$AD$3</f>
        <v>124191.77999999998</v>
      </c>
      <c r="N156" s="3">
        <f>Table3[[#This Row],[Total 
income (Earnings + value - stud fee)]]-Table3[[#This Row],[Maintenance cost ]]</f>
        <v>939148.89</v>
      </c>
      <c r="O156" s="3">
        <f>SUM(Table3[[#This Row],[income1]:[income12]])</f>
        <v>939148.89</v>
      </c>
      <c r="P156" s="3">
        <f>_xlfn.IFNA(VLOOKUP(Table3[[#This Row],[damId]],Sheet1!$A$2:$Y$970,23, FALSE), VLOOKUP(Table3[[#This Row],[dam]],Sheet1!$B$2:$Y$970,23, FALSE))*Sheet1!$AD$3</f>
        <v>0</v>
      </c>
      <c r="Q156" s="3">
        <f>SUM(Table3[[#This Row],[earningsInRaces1]:[earningsInRaces12]])</f>
        <v>0</v>
      </c>
      <c r="R156" s="3">
        <f>SUM(Table3[[#This Row],[auctionPrice1]:[auctionPrice12]])</f>
        <v>980260</v>
      </c>
      <c r="S156" s="3">
        <f>SUM(Table3[[#This Row],[studFeeUSD1]:[studFeeUSD12]])</f>
        <v>-41111.11</v>
      </c>
      <c r="T156" s="7">
        <f>COUNT(Table3[[#This Row],[successfulService1]:[successfulService12]])</f>
        <v>7</v>
      </c>
      <c r="U156" s="7">
        <f>SUM(Table3[[#This Row],[successfulService1]:[successfulService12]])</f>
        <v>4</v>
      </c>
      <c r="V156" s="7">
        <f>SUM(Table3[[#This Row],[soldInAuction1]:[soldInAuction12]])</f>
        <v>2</v>
      </c>
      <c r="W156" s="7">
        <f>SUM(Table3[[#This Row],[foreignHorse1]:[foreignHorse12]])</f>
        <v>3</v>
      </c>
      <c r="X156" s="3">
        <v>0</v>
      </c>
      <c r="Y156" s="3">
        <v>369504</v>
      </c>
      <c r="Z156" s="3">
        <v>-41111.11</v>
      </c>
      <c r="AA156" s="3">
        <v>610756</v>
      </c>
      <c r="AB156" s="3">
        <v>0</v>
      </c>
      <c r="AC156" s="3">
        <v>0</v>
      </c>
      <c r="AD156" s="3">
        <v>0</v>
      </c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>
        <v>369504</v>
      </c>
      <c r="AX156" s="3"/>
      <c r="AY156" s="3">
        <v>610756</v>
      </c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>
        <v>-41111.11</v>
      </c>
      <c r="BK156" s="3"/>
      <c r="BL156" s="3"/>
      <c r="BM156" s="3"/>
      <c r="BN156" s="3"/>
      <c r="BO156" s="3"/>
      <c r="BP156" s="3"/>
      <c r="BQ156" s="3"/>
      <c r="BR156" s="3"/>
      <c r="BS156" s="3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>
        <v>0</v>
      </c>
      <c r="CG156" s="1">
        <v>1</v>
      </c>
      <c r="CH156" s="1">
        <v>1</v>
      </c>
      <c r="CI156" s="1">
        <v>1</v>
      </c>
      <c r="CJ156" s="1">
        <v>1</v>
      </c>
      <c r="CK156" s="1">
        <v>0</v>
      </c>
      <c r="CL156" s="1">
        <v>0</v>
      </c>
      <c r="CM156" s="1"/>
      <c r="CN156" s="1"/>
      <c r="CO156" s="1"/>
      <c r="CP156" s="1"/>
      <c r="CQ156" s="1"/>
      <c r="CR156" s="1">
        <v>0</v>
      </c>
      <c r="CS156" s="1">
        <v>1</v>
      </c>
      <c r="CT156" s="1">
        <v>0</v>
      </c>
      <c r="CU156" s="1">
        <v>1</v>
      </c>
      <c r="CV156" s="1">
        <v>0</v>
      </c>
      <c r="CW156" s="1">
        <v>0</v>
      </c>
      <c r="CX156" s="1">
        <v>0</v>
      </c>
      <c r="CY156" s="1"/>
      <c r="CZ156" s="1"/>
      <c r="DA156" s="1"/>
      <c r="DB156" s="1"/>
      <c r="DC156" s="1"/>
      <c r="DD156" s="1">
        <v>0</v>
      </c>
      <c r="DE156" s="1">
        <v>1</v>
      </c>
      <c r="DF156" s="1">
        <v>1</v>
      </c>
      <c r="DG156" s="1">
        <v>1</v>
      </c>
      <c r="DH156" s="1">
        <v>0</v>
      </c>
      <c r="DI156" s="1">
        <v>0</v>
      </c>
      <c r="DJ156" s="1">
        <v>0</v>
      </c>
      <c r="DK156" s="1"/>
      <c r="DL156" s="1"/>
      <c r="DM156" s="1"/>
      <c r="DN156" s="1"/>
      <c r="DO156" s="1"/>
      <c r="DP156" s="1">
        <v>1</v>
      </c>
      <c r="DQ156" s="1">
        <v>2</v>
      </c>
      <c r="DR156" s="1">
        <v>3</v>
      </c>
      <c r="DS156" s="1">
        <v>4</v>
      </c>
      <c r="DT156" s="1">
        <v>5</v>
      </c>
      <c r="DU156" s="1">
        <v>6</v>
      </c>
      <c r="DV156" s="1">
        <v>7</v>
      </c>
      <c r="DW156" s="1"/>
      <c r="DX156" s="1"/>
      <c r="DY156" s="1"/>
      <c r="DZ156" s="1"/>
      <c r="EA156" s="1"/>
    </row>
    <row r="157" spans="1:131" x14ac:dyDescent="0.3">
      <c r="A157">
        <v>9410318</v>
      </c>
      <c r="B157" s="1" t="s">
        <v>543</v>
      </c>
      <c r="C157" s="1" t="s">
        <v>139</v>
      </c>
      <c r="D157" s="1">
        <v>2018</v>
      </c>
      <c r="E157" s="1">
        <v>1</v>
      </c>
      <c r="F157" s="10">
        <f>Table3[[#This Row],[First season 
with SF]]+Table3[[#This Row],['# Services 
provided]]</f>
        <v>2</v>
      </c>
      <c r="G157" s="26">
        <f>(Table3[[#This Row],[Total Income 
(Race + Price 
sold + Offs - maintenance cost)]]-Table3[[#This Row],[Price 
Bought]])/Table3[[#This Row],[Price 
Bought]]</f>
        <v>0.75749109999999986</v>
      </c>
      <c r="H157" s="31">
        <f>Table3[[#This Row],[Race 
earnings]]+Table3[[#This Row],[Price 
Sold]]-Table3[[#This Row],[Maintenance cost]]+Table3[[#This Row],[Total 
profit (Income - cost)]]</f>
        <v>351498.22</v>
      </c>
      <c r="I157" s="3">
        <f>_xlfn.IFNA(VLOOKUP(Table3[[#This Row],[damId]],Sheet1!$A$2:$M$970,5, FALSE), VLOOKUP(Table3[[#This Row],[dam]],Sheet1!$B$2:$M$970,4, FALSE))</f>
        <v>0</v>
      </c>
      <c r="J157" s="3">
        <f>_xlfn.IFNA(VLOOKUP(Table3[[#This Row],[damId]],Sheet1!$A$2:$M$970,13, FALSE), VLOOKUP(Table3[[#This Row],[dam]],Sheet1!$B$2:$M$970,13, FALSE))</f>
        <v>131839</v>
      </c>
      <c r="K157" s="3">
        <f>_xlfn.IFNA(VLOOKUP(Table3[[#This Row],[damId]],Sheet1!$A$2:$M$970,11, FALSE), VLOOKUP(Table3[[#This Row],[dam]],Sheet1!$B$2:$M$970,11, FALSE))</f>
        <v>200000</v>
      </c>
      <c r="L157" s="3">
        <f>_xlfn.IFNA(VLOOKUP(Table3[[#This Row],[damId]],Sheet1!$A$2:$M$970,12, FALSE), VLOOKUP(Table3[[#This Row],[dam]],Sheet1!$B$2:$M$970,12, FALSE))</f>
        <v>331839</v>
      </c>
      <c r="M157" s="3">
        <f>_xlfn.IFNA(VLOOKUP(Table3[[#This Row],[damId]],Sheet1!$A$2:$T$970,20, FALSE), VLOOKUP(Table3[[#This Row],[dam]],Sheet1!$B$2:$T$970,20, FALSE))*Sheet1!$AD$3</f>
        <v>46191.78</v>
      </c>
      <c r="N157" s="3">
        <f>Table3[[#This Row],[Total 
income (Earnings + value - stud fee)]]-Table3[[#This Row],[Maintenance cost ]]</f>
        <v>65851</v>
      </c>
      <c r="O157" s="3">
        <f>SUM(Table3[[#This Row],[income1]:[income12]])</f>
        <v>65851</v>
      </c>
      <c r="P157" s="3">
        <f>_xlfn.IFNA(VLOOKUP(Table3[[#This Row],[damId]],Sheet1!$A$2:$Y$970,23, FALSE), VLOOKUP(Table3[[#This Row],[dam]],Sheet1!$B$2:$Y$970,23, FALSE))*Sheet1!$AD$3</f>
        <v>0</v>
      </c>
      <c r="Q157" s="3">
        <f>SUM(Table3[[#This Row],[earningsInRaces1]:[earningsInRaces12]])</f>
        <v>0</v>
      </c>
      <c r="R157" s="3">
        <f>SUM(Table3[[#This Row],[auctionPrice1]:[auctionPrice12]])</f>
        <v>85851</v>
      </c>
      <c r="S157" s="3">
        <f>SUM(Table3[[#This Row],[studFeeUSD1]:[studFeeUSD12]])</f>
        <v>-20000</v>
      </c>
      <c r="T157" s="7">
        <f>COUNT(Table3[[#This Row],[successfulService1]:[successfulService12]])</f>
        <v>1</v>
      </c>
      <c r="U157" s="7">
        <f>SUM(Table3[[#This Row],[successfulService1]:[successfulService12]])</f>
        <v>1</v>
      </c>
      <c r="V157" s="7">
        <f>SUM(Table3[[#This Row],[soldInAuction1]:[soldInAuction12]])</f>
        <v>1</v>
      </c>
      <c r="W157" s="7">
        <f>SUM(Table3[[#This Row],[foreignHorse1]:[foreignHorse12]])</f>
        <v>1</v>
      </c>
      <c r="X157" s="3">
        <v>65851</v>
      </c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>
        <v>85851</v>
      </c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>
        <v>-20000</v>
      </c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>
        <v>1</v>
      </c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>
        <v>1</v>
      </c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>
        <v>1</v>
      </c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>
        <v>1</v>
      </c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</row>
    <row r="158" spans="1:131" x14ac:dyDescent="0.3">
      <c r="A158">
        <v>9517442</v>
      </c>
      <c r="B158" s="1" t="s">
        <v>604</v>
      </c>
      <c r="C158" s="1" t="s">
        <v>139</v>
      </c>
      <c r="D158" s="1">
        <v>2018</v>
      </c>
      <c r="E158" s="1">
        <v>1</v>
      </c>
      <c r="F158" s="10">
        <f>Table3[[#This Row],[First season 
with SF]]+Table3[[#This Row],['# Services 
provided]]</f>
        <v>7</v>
      </c>
      <c r="G158" s="26">
        <f>(Table3[[#This Row],[Total Income 
(Race + Price 
sold + Offs - maintenance cost)]]-Table3[[#This Row],[Price 
Bought]])/Table3[[#This Row],[Price 
Bought]]</f>
        <v>1.11804345</v>
      </c>
      <c r="H158" s="31">
        <f>Table3[[#This Row],[Race 
earnings]]+Table3[[#This Row],[Price 
Sold]]-Table3[[#This Row],[Maintenance cost]]+Table3[[#This Row],[Total 
profit (Income - cost)]]</f>
        <v>635413.03500000003</v>
      </c>
      <c r="I158" s="3">
        <f>_xlfn.IFNA(VLOOKUP(Table3[[#This Row],[damId]],Sheet1!$A$2:$M$970,5, FALSE), VLOOKUP(Table3[[#This Row],[dam]],Sheet1!$B$2:$M$970,4, FALSE))</f>
        <v>0</v>
      </c>
      <c r="J158" s="3">
        <f>_xlfn.IFNA(VLOOKUP(Table3[[#This Row],[damId]],Sheet1!$A$2:$M$970,13, FALSE), VLOOKUP(Table3[[#This Row],[dam]],Sheet1!$B$2:$M$970,13, FALSE))</f>
        <v>-300000</v>
      </c>
      <c r="K158" s="3">
        <f>_xlfn.IFNA(VLOOKUP(Table3[[#This Row],[damId]],Sheet1!$A$2:$M$970,11, FALSE), VLOOKUP(Table3[[#This Row],[dam]],Sheet1!$B$2:$M$970,11, FALSE))</f>
        <v>300000</v>
      </c>
      <c r="L158" s="3">
        <f>_xlfn.IFNA(VLOOKUP(Table3[[#This Row],[damId]],Sheet1!$A$2:$M$970,12, FALSE), VLOOKUP(Table3[[#This Row],[dam]],Sheet1!$B$2:$M$970,12, FALSE))</f>
        <v>0</v>
      </c>
      <c r="M158" s="3">
        <f>_xlfn.IFNA(VLOOKUP(Table3[[#This Row],[damId]],Sheet1!$A$2:$T$970,20, FALSE), VLOOKUP(Table3[[#This Row],[dam]],Sheet1!$B$2:$T$970,20, FALSE))*Sheet1!$AD$3</f>
        <v>124273.96500000001</v>
      </c>
      <c r="N158" s="3">
        <f>Table3[[#This Row],[Total 
income (Earnings + value - stud fee)]]-Table3[[#This Row],[Maintenance cost ]]</f>
        <v>759687</v>
      </c>
      <c r="O158" s="3">
        <f>SUM(Table3[[#This Row],[income1]:[income12]])</f>
        <v>759687</v>
      </c>
      <c r="P158" s="3">
        <f>_xlfn.IFNA(VLOOKUP(Table3[[#This Row],[damId]],Sheet1!$A$2:$Y$970,23, FALSE), VLOOKUP(Table3[[#This Row],[dam]],Sheet1!$B$2:$Y$970,23, FALSE))*Sheet1!$AD$3</f>
        <v>0</v>
      </c>
      <c r="Q158" s="3">
        <f>SUM(Table3[[#This Row],[earningsInRaces1]:[earningsInRaces12]])</f>
        <v>0</v>
      </c>
      <c r="R158" s="3">
        <f>SUM(Table3[[#This Row],[auctionPrice1]:[auctionPrice12]])</f>
        <v>759687</v>
      </c>
      <c r="S158" s="3">
        <f>SUM(Table3[[#This Row],[studFeeUSD1]:[studFeeUSD12]])</f>
        <v>0</v>
      </c>
      <c r="T158" s="7">
        <f>COUNT(Table3[[#This Row],[successfulService1]:[successfulService12]])</f>
        <v>6</v>
      </c>
      <c r="U158" s="7">
        <f>SUM(Table3[[#This Row],[successfulService1]:[successfulService12]])</f>
        <v>4</v>
      </c>
      <c r="V158" s="7">
        <f>SUM(Table3[[#This Row],[soldInAuction1]:[soldInAuction12]])</f>
        <v>3</v>
      </c>
      <c r="W158" s="7">
        <f>SUM(Table3[[#This Row],[foreignHorse1]:[foreignHorse12]])</f>
        <v>4</v>
      </c>
      <c r="X158" s="3">
        <v>64696</v>
      </c>
      <c r="Y158" s="3">
        <v>555675</v>
      </c>
      <c r="Z158" s="3">
        <v>0</v>
      </c>
      <c r="AA158" s="3">
        <v>139316</v>
      </c>
      <c r="AB158" s="3">
        <v>0</v>
      </c>
      <c r="AC158" s="3">
        <v>0</v>
      </c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>
        <v>64696</v>
      </c>
      <c r="AW158" s="3">
        <v>555675</v>
      </c>
      <c r="AX158" s="3"/>
      <c r="AY158" s="3">
        <v>139316</v>
      </c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>
        <v>1</v>
      </c>
      <c r="CG158" s="1">
        <v>1</v>
      </c>
      <c r="CH158" s="1">
        <v>1</v>
      </c>
      <c r="CI158" s="1">
        <v>1</v>
      </c>
      <c r="CJ158" s="1">
        <v>0</v>
      </c>
      <c r="CK158" s="1">
        <v>0</v>
      </c>
      <c r="CL158" s="1"/>
      <c r="CM158" s="1"/>
      <c r="CN158" s="1"/>
      <c r="CO158" s="1"/>
      <c r="CP158" s="1"/>
      <c r="CQ158" s="1"/>
      <c r="CR158" s="1">
        <v>1</v>
      </c>
      <c r="CS158" s="1">
        <v>1</v>
      </c>
      <c r="CT158" s="1">
        <v>0</v>
      </c>
      <c r="CU158" s="1">
        <v>1</v>
      </c>
      <c r="CV158" s="1">
        <v>0</v>
      </c>
      <c r="CW158" s="1">
        <v>0</v>
      </c>
      <c r="CX158" s="1"/>
      <c r="CY158" s="1"/>
      <c r="CZ158" s="1"/>
      <c r="DA158" s="1"/>
      <c r="DB158" s="1"/>
      <c r="DC158" s="1"/>
      <c r="DD158" s="1">
        <v>1</v>
      </c>
      <c r="DE158" s="1">
        <v>1</v>
      </c>
      <c r="DF158" s="1">
        <v>1</v>
      </c>
      <c r="DG158" s="1">
        <v>1</v>
      </c>
      <c r="DH158" s="1">
        <v>0</v>
      </c>
      <c r="DI158" s="1">
        <v>0</v>
      </c>
      <c r="DJ158" s="1"/>
      <c r="DK158" s="1"/>
      <c r="DL158" s="1"/>
      <c r="DM158" s="1"/>
      <c r="DN158" s="1"/>
      <c r="DO158" s="1"/>
      <c r="DP158" s="1">
        <v>1</v>
      </c>
      <c r="DQ158" s="1">
        <v>2</v>
      </c>
      <c r="DR158" s="1">
        <v>3</v>
      </c>
      <c r="DS158" s="1">
        <v>4</v>
      </c>
      <c r="DT158" s="1">
        <v>5</v>
      </c>
      <c r="DU158" s="1">
        <v>6</v>
      </c>
      <c r="DV158" s="1"/>
      <c r="DW158" s="1"/>
      <c r="DX158" s="1"/>
      <c r="DY158" s="1"/>
      <c r="DZ158" s="1"/>
      <c r="EA158" s="1"/>
    </row>
    <row r="159" spans="1:131" x14ac:dyDescent="0.3">
      <c r="A159">
        <v>9684122</v>
      </c>
      <c r="B159" s="1" t="s">
        <v>648</v>
      </c>
      <c r="C159" s="1" t="s">
        <v>24</v>
      </c>
      <c r="D159" s="1">
        <v>2018</v>
      </c>
      <c r="E159" s="1">
        <v>1</v>
      </c>
      <c r="F159" s="10">
        <f>Table3[[#This Row],[First season 
with SF]]+Table3[[#This Row],['# Services 
provided]]</f>
        <v>3</v>
      </c>
      <c r="G159" s="26">
        <f>(Table3[[#This Row],[Total Income 
(Race + Price 
sold + Offs - maintenance cost)]]-Table3[[#This Row],[Price 
Bought]])/Table3[[#This Row],[Price 
Bought]]</f>
        <v>-0.22179097500000003</v>
      </c>
      <c r="H159" s="31">
        <f>Table3[[#This Row],[Race 
earnings]]+Table3[[#This Row],[Price 
Sold]]-Table3[[#This Row],[Maintenance cost]]+Table3[[#This Row],[Total 
profit (Income - cost)]]</f>
        <v>155641.80499999999</v>
      </c>
      <c r="I159" s="3">
        <f>_xlfn.IFNA(VLOOKUP(Table3[[#This Row],[damId]],Sheet1!$A$2:$M$970,5, FALSE), VLOOKUP(Table3[[#This Row],[dam]],Sheet1!$B$2:$M$970,4, FALSE))</f>
        <v>0</v>
      </c>
      <c r="J159" s="3">
        <f>_xlfn.IFNA(VLOOKUP(Table3[[#This Row],[damId]],Sheet1!$A$2:$M$970,13, FALSE), VLOOKUP(Table3[[#This Row],[dam]],Sheet1!$B$2:$M$970,13, FALSE))</f>
        <v>85000</v>
      </c>
      <c r="K159" s="3">
        <f>_xlfn.IFNA(VLOOKUP(Table3[[#This Row],[damId]],Sheet1!$A$2:$M$970,11, FALSE), VLOOKUP(Table3[[#This Row],[dam]],Sheet1!$B$2:$M$970,11, FALSE))</f>
        <v>200000</v>
      </c>
      <c r="L159" s="3">
        <f>_xlfn.IFNA(VLOOKUP(Table3[[#This Row],[damId]],Sheet1!$A$2:$M$970,12, FALSE), VLOOKUP(Table3[[#This Row],[dam]],Sheet1!$B$2:$M$970,12, FALSE))</f>
        <v>250000</v>
      </c>
      <c r="M159" s="3">
        <f>_xlfn.IFNA(VLOOKUP(Table3[[#This Row],[damId]],Sheet1!$A$2:$T$970,20, FALSE), VLOOKUP(Table3[[#This Row],[dam]],Sheet1!$B$2:$T$970,20, FALSE))*Sheet1!$AD$3</f>
        <v>69780.824999999997</v>
      </c>
      <c r="N159" s="3">
        <f>Table3[[#This Row],[Total 
income (Earnings + value - stud fee)]]-Table3[[#This Row],[Maintenance cost ]]</f>
        <v>-24577.37</v>
      </c>
      <c r="O159" s="3">
        <f>SUM(Table3[[#This Row],[income1]:[income12]])</f>
        <v>-13481.48</v>
      </c>
      <c r="P159" s="3">
        <f>_xlfn.IFNA(VLOOKUP(Table3[[#This Row],[damId]],Sheet1!$A$2:$Y$970,23, FALSE), VLOOKUP(Table3[[#This Row],[dam]],Sheet1!$B$2:$Y$970,23, FALSE))*Sheet1!$AD$3</f>
        <v>11095.89</v>
      </c>
      <c r="Q159" s="3">
        <f>SUM(Table3[[#This Row],[earningsInRaces1]:[earningsInRaces12]])</f>
        <v>0</v>
      </c>
      <c r="R159" s="3">
        <f>SUM(Table3[[#This Row],[auctionPrice1]:[auctionPrice12]])</f>
        <v>125000</v>
      </c>
      <c r="S159" s="3">
        <f>SUM(Table3[[#This Row],[studFeeUSD1]:[studFeeUSD12]])</f>
        <v>-138481.5</v>
      </c>
      <c r="T159" s="7">
        <f>COUNT(Table3[[#This Row],[successfulService1]:[successfulService12]])</f>
        <v>2</v>
      </c>
      <c r="U159" s="7">
        <f>SUM(Table3[[#This Row],[successfulService1]:[successfulService12]])</f>
        <v>1</v>
      </c>
      <c r="V159" s="7">
        <f>SUM(Table3[[#This Row],[soldInAuction1]:[soldInAuction12]])</f>
        <v>1</v>
      </c>
      <c r="W159" s="7">
        <f>SUM(Table3[[#This Row],[foreignHorse1]:[foreignHorse12]])</f>
        <v>0</v>
      </c>
      <c r="X159" s="3"/>
      <c r="Y159" s="3">
        <v>21518.52</v>
      </c>
      <c r="Z159" s="3">
        <v>-35000</v>
      </c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>
        <v>125000</v>
      </c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>
        <v>-103481.5</v>
      </c>
      <c r="BJ159" s="3">
        <v>-35000</v>
      </c>
      <c r="BK159" s="3"/>
      <c r="BL159" s="3"/>
      <c r="BM159" s="3"/>
      <c r="BN159" s="3"/>
      <c r="BO159" s="3"/>
      <c r="BP159" s="3"/>
      <c r="BQ159" s="3"/>
      <c r="BR159" s="3"/>
      <c r="BS159" s="3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>
        <v>1</v>
      </c>
      <c r="CH159" s="1">
        <v>0</v>
      </c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>
        <v>1</v>
      </c>
      <c r="CT159" s="1">
        <v>0</v>
      </c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>
        <v>0</v>
      </c>
      <c r="DF159" s="1">
        <v>0</v>
      </c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>
        <v>3</v>
      </c>
      <c r="DR159" s="1">
        <v>4</v>
      </c>
      <c r="DS159" s="1"/>
      <c r="DT159" s="1"/>
      <c r="DU159" s="1"/>
      <c r="DV159" s="1"/>
      <c r="DW159" s="1"/>
      <c r="DX159" s="1"/>
      <c r="DY159" s="1"/>
      <c r="DZ159" s="1"/>
      <c r="EA159" s="1"/>
    </row>
    <row r="160" spans="1:131" x14ac:dyDescent="0.3">
      <c r="A160">
        <v>4630395</v>
      </c>
      <c r="B160" s="1" t="s">
        <v>57</v>
      </c>
      <c r="C160" s="1" t="s">
        <v>24</v>
      </c>
      <c r="D160" s="1">
        <v>2019</v>
      </c>
      <c r="E160" s="1">
        <v>16</v>
      </c>
      <c r="F160" s="10">
        <f>Table3[[#This Row],[First season 
with SF]]+Table3[[#This Row],['# Services 
provided]]</f>
        <v>19</v>
      </c>
      <c r="G160" s="26">
        <f>(Table3[[#This Row],[Total Income 
(Race + Price 
sold + Offs - maintenance cost)]]-Table3[[#This Row],[Price 
Bought]])/Table3[[#This Row],[Price 
Bought]]</f>
        <v>10.31763675</v>
      </c>
      <c r="H160" s="31">
        <f>Table3[[#This Row],[Race 
earnings]]+Table3[[#This Row],[Price 
Sold]]-Table3[[#This Row],[Maintenance cost]]+Table3[[#This Row],[Total 
profit (Income - cost)]]</f>
        <v>452705.47</v>
      </c>
      <c r="I160" s="3">
        <f>_xlfn.IFNA(VLOOKUP(Table3[[#This Row],[damId]],Sheet1!$A$2:$M$970,5, FALSE), VLOOKUP(Table3[[#This Row],[dam]],Sheet1!$B$2:$M$970,4, FALSE))</f>
        <v>0</v>
      </c>
      <c r="J160" s="3">
        <f>_xlfn.IFNA(VLOOKUP(Table3[[#This Row],[damId]],Sheet1!$A$2:$M$970,13, FALSE), VLOOKUP(Table3[[#This Row],[dam]],Sheet1!$B$2:$M$970,13, FALSE))</f>
        <v>-40000</v>
      </c>
      <c r="K160" s="3">
        <f>_xlfn.IFNA(VLOOKUP(Table3[[#This Row],[damId]],Sheet1!$A$2:$M$970,11, FALSE), VLOOKUP(Table3[[#This Row],[dam]],Sheet1!$B$2:$M$970,11, FALSE))</f>
        <v>40000</v>
      </c>
      <c r="L160" s="3">
        <f>_xlfn.IFNA(VLOOKUP(Table3[[#This Row],[damId]],Sheet1!$A$2:$M$970,12, FALSE), VLOOKUP(Table3[[#This Row],[dam]],Sheet1!$B$2:$M$970,12, FALSE))</f>
        <v>0</v>
      </c>
      <c r="M160" s="3">
        <f>_xlfn.IFNA(VLOOKUP(Table3[[#This Row],[damId]],Sheet1!$A$2:$T$970,20, FALSE), VLOOKUP(Table3[[#This Row],[dam]],Sheet1!$B$2:$T$970,20, FALSE))*Sheet1!$AD$3</f>
        <v>94273.98000000001</v>
      </c>
      <c r="N160" s="3">
        <f>Table3[[#This Row],[Total 
income (Earnings + value - stud fee)]]-Table3[[#This Row],[Maintenance cost ]]</f>
        <v>546979.44999999995</v>
      </c>
      <c r="O160" s="3">
        <f>SUM(Table3[[#This Row],[income1]:[income12]])</f>
        <v>587500</v>
      </c>
      <c r="P160" s="3">
        <f>_xlfn.IFNA(VLOOKUP(Table3[[#This Row],[damId]],Sheet1!$A$2:$Y$970,23, FALSE), VLOOKUP(Table3[[#This Row],[dam]],Sheet1!$B$2:$Y$970,23, FALSE))*Sheet1!$AD$3</f>
        <v>40520.549999999996</v>
      </c>
      <c r="Q160" s="3">
        <f>SUM(Table3[[#This Row],[earningsInRaces1]:[earningsInRaces12]])</f>
        <v>0</v>
      </c>
      <c r="R160" s="3">
        <f>SUM(Table3[[#This Row],[auctionPrice1]:[auctionPrice12]])</f>
        <v>625000</v>
      </c>
      <c r="S160" s="3">
        <f>SUM(Table3[[#This Row],[studFeeUSD1]:[studFeeUSD12]])</f>
        <v>-37500</v>
      </c>
      <c r="T160" s="7">
        <f>COUNT(Table3[[#This Row],[successfulService1]:[successfulService12]])</f>
        <v>3</v>
      </c>
      <c r="U160" s="7">
        <f>SUM(Table3[[#This Row],[successfulService1]:[successfulService12]])</f>
        <v>2</v>
      </c>
      <c r="V160" s="7">
        <f>SUM(Table3[[#This Row],[soldInAuction1]:[soldInAuction12]])</f>
        <v>2</v>
      </c>
      <c r="W160" s="7">
        <f>SUM(Table3[[#This Row],[foreignHorse1]:[foreignHorse12]])</f>
        <v>0</v>
      </c>
      <c r="X160" s="3">
        <v>425000</v>
      </c>
      <c r="Y160" s="3">
        <v>180000</v>
      </c>
      <c r="Z160" s="3">
        <v>-17500</v>
      </c>
      <c r="AA160" s="3"/>
      <c r="AB160" s="3"/>
      <c r="AC160" s="3"/>
      <c r="AD160" s="3"/>
      <c r="AE160" s="3"/>
      <c r="AF160" s="3"/>
      <c r="AG160" s="3"/>
      <c r="AH160" s="3"/>
      <c r="AI160" s="3"/>
      <c r="AJ160" s="3">
        <v>0</v>
      </c>
      <c r="AK160" s="3">
        <v>0</v>
      </c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>
        <v>425000</v>
      </c>
      <c r="AW160" s="3">
        <v>200000</v>
      </c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>
        <v>0</v>
      </c>
      <c r="BI160" s="3">
        <v>-20000</v>
      </c>
      <c r="BJ160" s="3">
        <v>-17500</v>
      </c>
      <c r="BK160" s="3"/>
      <c r="BL160" s="3"/>
      <c r="BM160" s="3"/>
      <c r="BN160" s="3"/>
      <c r="BO160" s="3"/>
      <c r="BP160" s="3"/>
      <c r="BQ160" s="3"/>
      <c r="BR160" s="3"/>
      <c r="BS160" s="3"/>
      <c r="BT160" s="1">
        <v>0</v>
      </c>
      <c r="BU160" s="1">
        <v>0</v>
      </c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>
        <v>1</v>
      </c>
      <c r="CG160" s="1">
        <v>1</v>
      </c>
      <c r="CH160" s="1">
        <v>0</v>
      </c>
      <c r="CI160" s="1"/>
      <c r="CJ160" s="1"/>
      <c r="CK160" s="1"/>
      <c r="CL160" s="1"/>
      <c r="CM160" s="1"/>
      <c r="CN160" s="1"/>
      <c r="CO160" s="1"/>
      <c r="CP160" s="1"/>
      <c r="CQ160" s="1"/>
      <c r="CR160" s="1">
        <v>1</v>
      </c>
      <c r="CS160" s="1">
        <v>1</v>
      </c>
      <c r="CT160" s="1">
        <v>0</v>
      </c>
      <c r="CU160" s="1"/>
      <c r="CV160" s="1"/>
      <c r="CW160" s="1"/>
      <c r="CX160" s="1"/>
      <c r="CY160" s="1"/>
      <c r="CZ160" s="1"/>
      <c r="DA160" s="1"/>
      <c r="DB160" s="1"/>
      <c r="DC160" s="1"/>
      <c r="DD160" s="1">
        <v>0</v>
      </c>
      <c r="DE160" s="1">
        <v>0</v>
      </c>
      <c r="DF160" s="1">
        <v>0</v>
      </c>
      <c r="DG160" s="1"/>
      <c r="DH160" s="1"/>
      <c r="DI160" s="1"/>
      <c r="DJ160" s="1"/>
      <c r="DK160" s="1"/>
      <c r="DL160" s="1"/>
      <c r="DM160" s="1"/>
      <c r="DN160" s="1"/>
      <c r="DO160" s="1"/>
      <c r="DP160" s="1">
        <v>16</v>
      </c>
      <c r="DQ160" s="1">
        <v>18</v>
      </c>
      <c r="DR160" s="1">
        <v>19</v>
      </c>
      <c r="DS160" s="1"/>
      <c r="DT160" s="1"/>
      <c r="DU160" s="1"/>
      <c r="DV160" s="1"/>
      <c r="DW160" s="1"/>
      <c r="DX160" s="1"/>
      <c r="DY160" s="1"/>
      <c r="DZ160" s="1"/>
      <c r="EA160" s="1"/>
    </row>
    <row r="161" spans="1:131" x14ac:dyDescent="0.3">
      <c r="A161">
        <v>6532481</v>
      </c>
      <c r="B161" s="1" t="s">
        <v>105</v>
      </c>
      <c r="C161" s="1" t="s">
        <v>24</v>
      </c>
      <c r="D161" s="1">
        <v>2019</v>
      </c>
      <c r="E161" s="1">
        <v>12</v>
      </c>
      <c r="F161" s="10">
        <f>Table3[[#This Row],[First season 
with SF]]+Table3[[#This Row],['# Services 
provided]]</f>
        <v>15</v>
      </c>
      <c r="G161" s="26">
        <f>(Table3[[#This Row],[Total Income 
(Race + Price 
sold + Offs - maintenance cost)]]-Table3[[#This Row],[Price 
Bought]])/Table3[[#This Row],[Price 
Bought]]</f>
        <v>-1.5941780000000001</v>
      </c>
      <c r="H161" s="31">
        <f>Table3[[#This Row],[Race 
earnings]]+Table3[[#This Row],[Price 
Sold]]-Table3[[#This Row],[Maintenance cost]]+Table3[[#This Row],[Total 
profit (Income - cost)]]</f>
        <v>-47534.240000000005</v>
      </c>
      <c r="I161" s="3">
        <f>_xlfn.IFNA(VLOOKUP(Table3[[#This Row],[damId]],Sheet1!$A$2:$M$970,5, FALSE), VLOOKUP(Table3[[#This Row],[dam]],Sheet1!$B$2:$M$970,4, FALSE))</f>
        <v>0</v>
      </c>
      <c r="J161" s="3">
        <f>_xlfn.IFNA(VLOOKUP(Table3[[#This Row],[damId]],Sheet1!$A$2:$M$970,13, FALSE), VLOOKUP(Table3[[#This Row],[dam]],Sheet1!$B$2:$M$970,13, FALSE))</f>
        <v>-80000</v>
      </c>
      <c r="K161" s="3">
        <f>_xlfn.IFNA(VLOOKUP(Table3[[#This Row],[damId]],Sheet1!$A$2:$M$970,11, FALSE), VLOOKUP(Table3[[#This Row],[dam]],Sheet1!$B$2:$M$970,11, FALSE))</f>
        <v>80000</v>
      </c>
      <c r="L161" s="3">
        <f>_xlfn.IFNA(VLOOKUP(Table3[[#This Row],[damId]],Sheet1!$A$2:$M$970,12, FALSE), VLOOKUP(Table3[[#This Row],[dam]],Sheet1!$B$2:$M$970,12, FALSE))</f>
        <v>0</v>
      </c>
      <c r="M161" s="3">
        <f>_xlfn.IFNA(VLOOKUP(Table3[[#This Row],[damId]],Sheet1!$A$2:$T$970,20, FALSE), VLOOKUP(Table3[[#This Row],[dam]],Sheet1!$B$2:$T$970,20, FALSE))*Sheet1!$AD$3</f>
        <v>94191.78</v>
      </c>
      <c r="N161" s="3">
        <f>Table3[[#This Row],[Total 
income (Earnings + value - stud fee)]]-Table3[[#This Row],[Maintenance cost ]]</f>
        <v>46657.539999999994</v>
      </c>
      <c r="O161" s="3">
        <f>SUM(Table3[[#This Row],[income1]:[income12]])</f>
        <v>70000</v>
      </c>
      <c r="P161" s="3">
        <f>_xlfn.IFNA(VLOOKUP(Table3[[#This Row],[damId]],Sheet1!$A$2:$Y$970,23, FALSE), VLOOKUP(Table3[[#This Row],[dam]],Sheet1!$B$2:$Y$970,23, FALSE))*Sheet1!$AD$3</f>
        <v>23342.460000000003</v>
      </c>
      <c r="Q161" s="3">
        <f>SUM(Table3[[#This Row],[earningsInRaces1]:[earningsInRaces12]])</f>
        <v>0</v>
      </c>
      <c r="R161" s="3">
        <f>SUM(Table3[[#This Row],[auctionPrice1]:[auctionPrice12]])</f>
        <v>115000</v>
      </c>
      <c r="S161" s="3">
        <f>SUM(Table3[[#This Row],[studFeeUSD1]:[studFeeUSD12]])</f>
        <v>-45000</v>
      </c>
      <c r="T161" s="7">
        <f>COUNT(Table3[[#This Row],[successfulService1]:[successfulService12]])</f>
        <v>3</v>
      </c>
      <c r="U161" s="7">
        <f>SUM(Table3[[#This Row],[successfulService1]:[successfulService12]])</f>
        <v>1</v>
      </c>
      <c r="V161" s="7">
        <f>SUM(Table3[[#This Row],[soldInAuction1]:[soldInAuction12]])</f>
        <v>1</v>
      </c>
      <c r="W161" s="7">
        <f>SUM(Table3[[#This Row],[foreignHorse1]:[foreignHorse12]])</f>
        <v>0</v>
      </c>
      <c r="X161" s="3">
        <v>115000</v>
      </c>
      <c r="Y161" s="3">
        <v>-25000</v>
      </c>
      <c r="Z161" s="3">
        <v>-20000</v>
      </c>
      <c r="AA161" s="3"/>
      <c r="AB161" s="3"/>
      <c r="AC161" s="3"/>
      <c r="AD161" s="3"/>
      <c r="AE161" s="3"/>
      <c r="AF161" s="3"/>
      <c r="AG161" s="3"/>
      <c r="AH161" s="3"/>
      <c r="AI161" s="3"/>
      <c r="AJ161" s="3">
        <v>0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>
        <v>115000</v>
      </c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>
        <v>0</v>
      </c>
      <c r="BI161" s="3">
        <v>-25000</v>
      </c>
      <c r="BJ161" s="3">
        <v>-20000</v>
      </c>
      <c r="BK161" s="3"/>
      <c r="BL161" s="3"/>
      <c r="BM161" s="3"/>
      <c r="BN161" s="3"/>
      <c r="BO161" s="3"/>
      <c r="BP161" s="3"/>
      <c r="BQ161" s="3"/>
      <c r="BR161" s="3"/>
      <c r="BS161" s="3"/>
      <c r="BT161" s="1">
        <v>0</v>
      </c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>
        <v>1</v>
      </c>
      <c r="CG161" s="1">
        <v>0</v>
      </c>
      <c r="CH161" s="1">
        <v>0</v>
      </c>
      <c r="CI161" s="1"/>
      <c r="CJ161" s="1"/>
      <c r="CK161" s="1"/>
      <c r="CL161" s="1"/>
      <c r="CM161" s="1"/>
      <c r="CN161" s="1"/>
      <c r="CO161" s="1"/>
      <c r="CP161" s="1"/>
      <c r="CQ161" s="1"/>
      <c r="CR161" s="1">
        <v>1</v>
      </c>
      <c r="CS161" s="1">
        <v>0</v>
      </c>
      <c r="CT161" s="1">
        <v>0</v>
      </c>
      <c r="CU161" s="1"/>
      <c r="CV161" s="1"/>
      <c r="CW161" s="1"/>
      <c r="CX161" s="1"/>
      <c r="CY161" s="1"/>
      <c r="CZ161" s="1"/>
      <c r="DA161" s="1"/>
      <c r="DB161" s="1"/>
      <c r="DC161" s="1"/>
      <c r="DD161" s="1">
        <v>0</v>
      </c>
      <c r="DE161" s="1">
        <v>0</v>
      </c>
      <c r="DF161" s="1">
        <v>0</v>
      </c>
      <c r="DG161" s="1"/>
      <c r="DH161" s="1"/>
      <c r="DI161" s="1"/>
      <c r="DJ161" s="1"/>
      <c r="DK161" s="1"/>
      <c r="DL161" s="1"/>
      <c r="DM161" s="1"/>
      <c r="DN161" s="1"/>
      <c r="DO161" s="1"/>
      <c r="DP161" s="1">
        <v>12</v>
      </c>
      <c r="DQ161" s="1">
        <v>13</v>
      </c>
      <c r="DR161" s="1">
        <v>14</v>
      </c>
      <c r="DS161" s="1"/>
      <c r="DT161" s="1"/>
      <c r="DU161" s="1"/>
      <c r="DV161" s="1"/>
      <c r="DW161" s="1"/>
      <c r="DX161" s="1"/>
      <c r="DY161" s="1"/>
      <c r="DZ161" s="1"/>
      <c r="EA161" s="1"/>
    </row>
    <row r="162" spans="1:131" x14ac:dyDescent="0.3">
      <c r="A162">
        <v>6857532</v>
      </c>
      <c r="B162" s="1" t="s">
        <v>123</v>
      </c>
      <c r="C162" s="1" t="s">
        <v>24</v>
      </c>
      <c r="D162" s="1">
        <v>2019</v>
      </c>
      <c r="E162" s="1">
        <v>11</v>
      </c>
      <c r="F162" s="10">
        <f>Table3[[#This Row],[First season 
with SF]]+Table3[[#This Row],['# Services 
provided]]</f>
        <v>17</v>
      </c>
      <c r="G162" s="26">
        <f>(Table3[[#This Row],[Total Income 
(Race + Price 
sold + Offs - maintenance cost)]]-Table3[[#This Row],[Price 
Bought]])/Table3[[#This Row],[Price 
Bought]]</f>
        <v>-0.51853347142857165</v>
      </c>
      <c r="H162" s="31">
        <f>Table3[[#This Row],[Race 
earnings]]+Table3[[#This Row],[Price 
Sold]]-Table3[[#This Row],[Maintenance cost]]+Table3[[#This Row],[Total 
profit (Income - cost)]]</f>
        <v>168513.28499999992</v>
      </c>
      <c r="I162" s="3">
        <f>_xlfn.IFNA(VLOOKUP(Table3[[#This Row],[damId]],Sheet1!$A$2:$M$970,5, FALSE), VLOOKUP(Table3[[#This Row],[dam]],Sheet1!$B$2:$M$970,4, FALSE))</f>
        <v>0</v>
      </c>
      <c r="J162" s="3">
        <f>_xlfn.IFNA(VLOOKUP(Table3[[#This Row],[damId]],Sheet1!$A$2:$M$970,13, FALSE), VLOOKUP(Table3[[#This Row],[dam]],Sheet1!$B$2:$M$970,13, FALSE))</f>
        <v>-350000</v>
      </c>
      <c r="K162" s="3">
        <f>_xlfn.IFNA(VLOOKUP(Table3[[#This Row],[damId]],Sheet1!$A$2:$M$970,11, FALSE), VLOOKUP(Table3[[#This Row],[dam]],Sheet1!$B$2:$M$970,11, FALSE))</f>
        <v>350000</v>
      </c>
      <c r="L162" s="3">
        <f>_xlfn.IFNA(VLOOKUP(Table3[[#This Row],[damId]],Sheet1!$A$2:$M$970,12, FALSE), VLOOKUP(Table3[[#This Row],[dam]],Sheet1!$B$2:$M$970,12, FALSE))</f>
        <v>0</v>
      </c>
      <c r="M162" s="3">
        <f>_xlfn.IFNA(VLOOKUP(Table3[[#This Row],[damId]],Sheet1!$A$2:$T$970,20, FALSE), VLOOKUP(Table3[[#This Row],[dam]],Sheet1!$B$2:$T$970,20, FALSE))*Sheet1!$AD$3</f>
        <v>94397.264999999999</v>
      </c>
      <c r="N162" s="3">
        <f>Table3[[#This Row],[Total 
income (Earnings + value - stud fee)]]-Table3[[#This Row],[Maintenance cost ]]</f>
        <v>262910.54999999993</v>
      </c>
      <c r="O162" s="3">
        <f>SUM(Table3[[#This Row],[income1]:[income12]])</f>
        <v>339472.19999999995</v>
      </c>
      <c r="P162" s="3">
        <f>_xlfn.IFNA(VLOOKUP(Table3[[#This Row],[damId]],Sheet1!$A$2:$Y$970,23, FALSE), VLOOKUP(Table3[[#This Row],[dam]],Sheet1!$B$2:$Y$970,23, FALSE))*Sheet1!$AD$3</f>
        <v>76561.650000000009</v>
      </c>
      <c r="Q162" s="3">
        <f>SUM(Table3[[#This Row],[earningsInRaces1]:[earningsInRaces12]])</f>
        <v>10250</v>
      </c>
      <c r="R162" s="3">
        <f>SUM(Table3[[#This Row],[auctionPrice1]:[auctionPrice12]])</f>
        <v>650000</v>
      </c>
      <c r="S162" s="3">
        <f>SUM(Table3[[#This Row],[studFeeUSD1]:[studFeeUSD12]])</f>
        <v>-320777.77</v>
      </c>
      <c r="T162" s="7">
        <f>COUNT(Table3[[#This Row],[successfulService1]:[successfulService12]])</f>
        <v>6</v>
      </c>
      <c r="U162" s="7">
        <f>SUM(Table3[[#This Row],[successfulService1]:[successfulService12]])</f>
        <v>5</v>
      </c>
      <c r="V162" s="7">
        <f>SUM(Table3[[#This Row],[soldInAuction1]:[soldInAuction12]])</f>
        <v>2</v>
      </c>
      <c r="W162" s="7">
        <f>SUM(Table3[[#This Row],[foreignHorse1]:[foreignHorse12]])</f>
        <v>1</v>
      </c>
      <c r="X162" s="3">
        <v>350000</v>
      </c>
      <c r="Y162" s="3">
        <v>234222.2</v>
      </c>
      <c r="Z162" s="3">
        <v>-64750</v>
      </c>
      <c r="AA162" s="3">
        <v>-60000</v>
      </c>
      <c r="AB162" s="3">
        <v>-60000</v>
      </c>
      <c r="AC162" s="3">
        <v>-60000</v>
      </c>
      <c r="AD162" s="3"/>
      <c r="AE162" s="3"/>
      <c r="AF162" s="3"/>
      <c r="AG162" s="3"/>
      <c r="AH162" s="3"/>
      <c r="AI162" s="3"/>
      <c r="AJ162" s="3"/>
      <c r="AK162" s="3">
        <v>0</v>
      </c>
      <c r="AL162" s="3">
        <v>10250</v>
      </c>
      <c r="AM162" s="3"/>
      <c r="AN162" s="3"/>
      <c r="AO162" s="3"/>
      <c r="AP162" s="3"/>
      <c r="AQ162" s="3"/>
      <c r="AR162" s="3"/>
      <c r="AS162" s="3"/>
      <c r="AT162" s="3"/>
      <c r="AU162" s="3"/>
      <c r="AV162" s="3">
        <v>350000</v>
      </c>
      <c r="AW162" s="3">
        <v>300000</v>
      </c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>
        <v>0</v>
      </c>
      <c r="BI162" s="3">
        <v>-65777.77</v>
      </c>
      <c r="BJ162" s="3">
        <v>-75000</v>
      </c>
      <c r="BK162" s="3">
        <v>-60000</v>
      </c>
      <c r="BL162" s="3">
        <v>-60000</v>
      </c>
      <c r="BM162" s="3">
        <v>-60000</v>
      </c>
      <c r="BN162" s="3"/>
      <c r="BO162" s="3"/>
      <c r="BP162" s="3"/>
      <c r="BQ162" s="3"/>
      <c r="BR162" s="3"/>
      <c r="BS162" s="3"/>
      <c r="BT162" s="1"/>
      <c r="BU162" s="1">
        <v>0</v>
      </c>
      <c r="BV162" s="1">
        <v>1</v>
      </c>
      <c r="BW162" s="1"/>
      <c r="BX162" s="1"/>
      <c r="BY162" s="1"/>
      <c r="BZ162" s="1"/>
      <c r="CA162" s="1"/>
      <c r="CB162" s="1"/>
      <c r="CC162" s="1"/>
      <c r="CD162" s="1"/>
      <c r="CE162" s="1"/>
      <c r="CF162" s="1">
        <v>1</v>
      </c>
      <c r="CG162" s="1">
        <v>1</v>
      </c>
      <c r="CH162" s="1">
        <v>1</v>
      </c>
      <c r="CI162" s="1">
        <v>0</v>
      </c>
      <c r="CJ162" s="1">
        <v>1</v>
      </c>
      <c r="CK162" s="1">
        <v>1</v>
      </c>
      <c r="CL162" s="1"/>
      <c r="CM162" s="1"/>
      <c r="CN162" s="1"/>
      <c r="CO162" s="1"/>
      <c r="CP162" s="1"/>
      <c r="CQ162" s="1"/>
      <c r="CR162" s="1">
        <v>1</v>
      </c>
      <c r="CS162" s="1">
        <v>1</v>
      </c>
      <c r="CT162" s="1">
        <v>0</v>
      </c>
      <c r="CU162" s="1">
        <v>0</v>
      </c>
      <c r="CV162" s="1">
        <v>0</v>
      </c>
      <c r="CW162" s="1">
        <v>0</v>
      </c>
      <c r="CX162" s="1"/>
      <c r="CY162" s="1"/>
      <c r="CZ162" s="1"/>
      <c r="DA162" s="1"/>
      <c r="DB162" s="1"/>
      <c r="DC162" s="1"/>
      <c r="DD162" s="1">
        <v>1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/>
      <c r="DK162" s="1"/>
      <c r="DL162" s="1"/>
      <c r="DM162" s="1"/>
      <c r="DN162" s="1"/>
      <c r="DO162" s="1"/>
      <c r="DP162" s="1">
        <v>11</v>
      </c>
      <c r="DQ162" s="1">
        <v>12</v>
      </c>
      <c r="DR162" s="1">
        <v>13</v>
      </c>
      <c r="DS162" s="1">
        <v>14</v>
      </c>
      <c r="DT162" s="1">
        <v>15</v>
      </c>
      <c r="DU162" s="1">
        <v>16</v>
      </c>
      <c r="DV162" s="1"/>
      <c r="DW162" s="1"/>
      <c r="DX162" s="1"/>
      <c r="DY162" s="1"/>
      <c r="DZ162" s="1"/>
      <c r="EA162" s="1"/>
    </row>
    <row r="163" spans="1:131" x14ac:dyDescent="0.3">
      <c r="A163">
        <v>7407961</v>
      </c>
      <c r="B163" s="1" t="s">
        <v>155</v>
      </c>
      <c r="C163" s="1" t="s">
        <v>24</v>
      </c>
      <c r="D163" s="1">
        <v>2019</v>
      </c>
      <c r="E163" s="1">
        <v>10</v>
      </c>
      <c r="F163" s="10">
        <f>Table3[[#This Row],[First season 
with SF]]+Table3[[#This Row],['# Services 
provided]]</f>
        <v>13</v>
      </c>
      <c r="G163" s="26">
        <f>(Table3[[#This Row],[Total Income 
(Race + Price 
sold + Offs - maintenance cost)]]-Table3[[#This Row],[Price 
Bought]])/Table3[[#This Row],[Price 
Bought]]</f>
        <v>-0.24794519615384611</v>
      </c>
      <c r="H163" s="31">
        <f>Table3[[#This Row],[Race 
earnings]]+Table3[[#This Row],[Price 
Sold]]-Table3[[#This Row],[Maintenance cost]]+Table3[[#This Row],[Total 
profit (Income - cost)]]</f>
        <v>97767.124500000005</v>
      </c>
      <c r="I163" s="3">
        <f>_xlfn.IFNA(VLOOKUP(Table3[[#This Row],[damId]],Sheet1!$A$2:$M$970,5, FALSE), VLOOKUP(Table3[[#This Row],[dam]],Sheet1!$B$2:$M$970,4, FALSE))</f>
        <v>0</v>
      </c>
      <c r="J163" s="3">
        <f>_xlfn.IFNA(VLOOKUP(Table3[[#This Row],[damId]],Sheet1!$A$2:$M$970,13, FALSE), VLOOKUP(Table3[[#This Row],[dam]],Sheet1!$B$2:$M$970,13, FALSE))</f>
        <v>-117000</v>
      </c>
      <c r="K163" s="3">
        <f>_xlfn.IFNA(VLOOKUP(Table3[[#This Row],[damId]],Sheet1!$A$2:$M$970,11, FALSE), VLOOKUP(Table3[[#This Row],[dam]],Sheet1!$B$2:$M$970,11, FALSE))</f>
        <v>130000</v>
      </c>
      <c r="L163" s="3">
        <f>_xlfn.IFNA(VLOOKUP(Table3[[#This Row],[damId]],Sheet1!$A$2:$M$970,12, FALSE), VLOOKUP(Table3[[#This Row],[dam]],Sheet1!$B$2:$M$970,12, FALSE))</f>
        <v>13000</v>
      </c>
      <c r="M163" s="3">
        <f>_xlfn.IFNA(VLOOKUP(Table3[[#This Row],[damId]],Sheet1!$A$2:$T$970,20, FALSE), VLOOKUP(Table3[[#This Row],[dam]],Sheet1!$B$2:$T$970,20, FALSE))*Sheet1!$AD$3</f>
        <v>32835.614999999998</v>
      </c>
      <c r="N163" s="3">
        <f>Table3[[#This Row],[Total 
income (Earnings + value - stud fee)]]-Table3[[#This Row],[Maintenance cost ]]</f>
        <v>117602.7395</v>
      </c>
      <c r="O163" s="3">
        <f>SUM(Table3[[#This Row],[income1]:[income12]])</f>
        <v>128000</v>
      </c>
      <c r="P163" s="3">
        <f>_xlfn.IFNA(VLOOKUP(Table3[[#This Row],[damId]],Sheet1!$A$2:$Y$970,23, FALSE), VLOOKUP(Table3[[#This Row],[dam]],Sheet1!$B$2:$Y$970,23, FALSE))*Sheet1!$AD$3</f>
        <v>10397.2605</v>
      </c>
      <c r="Q163" s="3">
        <f>SUM(Table3[[#This Row],[earningsInRaces1]:[earningsInRaces12]])</f>
        <v>0</v>
      </c>
      <c r="R163" s="3">
        <f>SUM(Table3[[#This Row],[auctionPrice1]:[auctionPrice12]])</f>
        <v>173000</v>
      </c>
      <c r="S163" s="3">
        <f>SUM(Table3[[#This Row],[studFeeUSD1]:[studFeeUSD12]])</f>
        <v>-45000</v>
      </c>
      <c r="T163" s="7">
        <f>COUNT(Table3[[#This Row],[successfulService1]:[successfulService12]])</f>
        <v>3</v>
      </c>
      <c r="U163" s="7">
        <f>SUM(Table3[[#This Row],[successfulService1]:[successfulService12]])</f>
        <v>2</v>
      </c>
      <c r="V163" s="7">
        <f>SUM(Table3[[#This Row],[soldInAuction1]:[soldInAuction12]])</f>
        <v>2</v>
      </c>
      <c r="W163" s="7">
        <f>SUM(Table3[[#This Row],[foreignHorse1]:[foreignHorse12]])</f>
        <v>0</v>
      </c>
      <c r="X163" s="3">
        <v>48000</v>
      </c>
      <c r="Y163" s="3">
        <v>-25000</v>
      </c>
      <c r="Z163" s="3">
        <v>105000</v>
      </c>
      <c r="AA163" s="3"/>
      <c r="AB163" s="3"/>
      <c r="AC163" s="3"/>
      <c r="AD163" s="3"/>
      <c r="AE163" s="3"/>
      <c r="AF163" s="3"/>
      <c r="AG163" s="3"/>
      <c r="AH163" s="3"/>
      <c r="AI163" s="3"/>
      <c r="AJ163" s="3">
        <v>0</v>
      </c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>
        <v>48000</v>
      </c>
      <c r="AW163" s="3"/>
      <c r="AX163" s="3">
        <v>125000</v>
      </c>
      <c r="AY163" s="3"/>
      <c r="AZ163" s="3"/>
      <c r="BA163" s="3"/>
      <c r="BB163" s="3"/>
      <c r="BC163" s="3"/>
      <c r="BD163" s="3"/>
      <c r="BE163" s="3"/>
      <c r="BF163" s="3"/>
      <c r="BG163" s="3"/>
      <c r="BH163" s="3">
        <v>0</v>
      </c>
      <c r="BI163" s="3">
        <v>-25000</v>
      </c>
      <c r="BJ163" s="3">
        <v>-20000</v>
      </c>
      <c r="BK163" s="3"/>
      <c r="BL163" s="3"/>
      <c r="BM163" s="3"/>
      <c r="BN163" s="3"/>
      <c r="BO163" s="3"/>
      <c r="BP163" s="3"/>
      <c r="BQ163" s="3"/>
      <c r="BR163" s="3"/>
      <c r="BS163" s="3"/>
      <c r="BT163" s="1">
        <v>0</v>
      </c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>
        <v>1</v>
      </c>
      <c r="CG163" s="1">
        <v>0</v>
      </c>
      <c r="CH163" s="1">
        <v>1</v>
      </c>
      <c r="CI163" s="1"/>
      <c r="CJ163" s="1"/>
      <c r="CK163" s="1"/>
      <c r="CL163" s="1"/>
      <c r="CM163" s="1"/>
      <c r="CN163" s="1"/>
      <c r="CO163" s="1"/>
      <c r="CP163" s="1"/>
      <c r="CQ163" s="1"/>
      <c r="CR163" s="1">
        <v>1</v>
      </c>
      <c r="CS163" s="1">
        <v>0</v>
      </c>
      <c r="CT163" s="1">
        <v>1</v>
      </c>
      <c r="CU163" s="1"/>
      <c r="CV163" s="1"/>
      <c r="CW163" s="1"/>
      <c r="CX163" s="1"/>
      <c r="CY163" s="1"/>
      <c r="CZ163" s="1"/>
      <c r="DA163" s="1"/>
      <c r="DB163" s="1"/>
      <c r="DC163" s="1"/>
      <c r="DD163" s="1">
        <v>0</v>
      </c>
      <c r="DE163" s="1">
        <v>0</v>
      </c>
      <c r="DF163" s="1">
        <v>0</v>
      </c>
      <c r="DG163" s="1"/>
      <c r="DH163" s="1"/>
      <c r="DI163" s="1"/>
      <c r="DJ163" s="1"/>
      <c r="DK163" s="1"/>
      <c r="DL163" s="1"/>
      <c r="DM163" s="1"/>
      <c r="DN163" s="1"/>
      <c r="DO163" s="1"/>
      <c r="DP163" s="1">
        <v>10</v>
      </c>
      <c r="DQ163" s="1">
        <v>11</v>
      </c>
      <c r="DR163" s="1">
        <v>12</v>
      </c>
      <c r="DS163" s="1"/>
      <c r="DT163" s="1"/>
      <c r="DU163" s="1"/>
      <c r="DV163" s="1"/>
      <c r="DW163" s="1"/>
      <c r="DX163" s="1"/>
      <c r="DY163" s="1"/>
      <c r="DZ163" s="1"/>
      <c r="EA163" s="1"/>
    </row>
    <row r="164" spans="1:131" x14ac:dyDescent="0.3">
      <c r="A164">
        <v>7443895</v>
      </c>
      <c r="B164" s="1" t="s">
        <v>161</v>
      </c>
      <c r="C164" s="1" t="s">
        <v>24</v>
      </c>
      <c r="D164" s="1">
        <v>2019</v>
      </c>
      <c r="E164" s="1">
        <v>9</v>
      </c>
      <c r="F164" s="10">
        <f>Table3[[#This Row],[First season 
with SF]]+Table3[[#This Row],['# Services 
provided]]</f>
        <v>16</v>
      </c>
      <c r="G164" s="26">
        <f>(Table3[[#This Row],[Total Income 
(Race + Price 
sold + Offs - maintenance cost)]]-Table3[[#This Row],[Price 
Bought]])/Table3[[#This Row],[Price 
Bought]]</f>
        <v>0.82442076666666697</v>
      </c>
      <c r="H164" s="31">
        <f>Table3[[#This Row],[Race 
earnings]]+Table3[[#This Row],[Price 
Sold]]-Table3[[#This Row],[Maintenance cost]]+Table3[[#This Row],[Total 
profit (Income - cost)]]</f>
        <v>273663.11500000005</v>
      </c>
      <c r="I164" s="3">
        <f>_xlfn.IFNA(VLOOKUP(Table3[[#This Row],[damId]],Sheet1!$A$2:$M$970,5, FALSE), VLOOKUP(Table3[[#This Row],[dam]],Sheet1!$B$2:$M$970,4, FALSE))</f>
        <v>0</v>
      </c>
      <c r="J164" s="3">
        <f>_xlfn.IFNA(VLOOKUP(Table3[[#This Row],[damId]],Sheet1!$A$2:$M$970,13, FALSE), VLOOKUP(Table3[[#This Row],[dam]],Sheet1!$B$2:$M$970,13, FALSE))</f>
        <v>-150000</v>
      </c>
      <c r="K164" s="3">
        <f>_xlfn.IFNA(VLOOKUP(Table3[[#This Row],[damId]],Sheet1!$A$2:$M$970,11, FALSE), VLOOKUP(Table3[[#This Row],[dam]],Sheet1!$B$2:$M$970,11, FALSE))</f>
        <v>150000</v>
      </c>
      <c r="L164" s="3">
        <f>_xlfn.IFNA(VLOOKUP(Table3[[#This Row],[damId]],Sheet1!$A$2:$M$970,12, FALSE), VLOOKUP(Table3[[#This Row],[dam]],Sheet1!$B$2:$M$970,12, FALSE))</f>
        <v>0</v>
      </c>
      <c r="M164" s="3">
        <f>_xlfn.IFNA(VLOOKUP(Table3[[#This Row],[damId]],Sheet1!$A$2:$T$970,20, FALSE), VLOOKUP(Table3[[#This Row],[dam]],Sheet1!$B$2:$T$970,20, FALSE))*Sheet1!$AD$3</f>
        <v>105575.34000000001</v>
      </c>
      <c r="N164" s="3">
        <f>Table3[[#This Row],[Total 
income (Earnings + value - stud fee)]]-Table3[[#This Row],[Maintenance cost ]]</f>
        <v>379238.45500000007</v>
      </c>
      <c r="O164" s="3">
        <f>SUM(Table3[[#This Row],[income1]:[income12]])</f>
        <v>484074.07000000007</v>
      </c>
      <c r="P164" s="3">
        <f>_xlfn.IFNA(VLOOKUP(Table3[[#This Row],[damId]],Sheet1!$A$2:$Y$970,23, FALSE), VLOOKUP(Table3[[#This Row],[dam]],Sheet1!$B$2:$Y$970,23, FALSE))*Sheet1!$AD$3</f>
        <v>104835.61500000001</v>
      </c>
      <c r="Q164" s="3">
        <f>SUM(Table3[[#This Row],[earningsInRaces1]:[earningsInRaces12]])</f>
        <v>0</v>
      </c>
      <c r="R164" s="3">
        <f>SUM(Table3[[#This Row],[auctionPrice1]:[auctionPrice12]])</f>
        <v>682000</v>
      </c>
      <c r="S164" s="3">
        <f>SUM(Table3[[#This Row],[studFeeUSD1]:[studFeeUSD12]])</f>
        <v>-197925.93</v>
      </c>
      <c r="T164" s="7">
        <f>COUNT(Table3[[#This Row],[successfulService1]:[successfulService12]])</f>
        <v>7</v>
      </c>
      <c r="U164" s="7">
        <f>SUM(Table3[[#This Row],[successfulService1]:[successfulService12]])</f>
        <v>5</v>
      </c>
      <c r="V164" s="7">
        <f>SUM(Table3[[#This Row],[soldInAuction1]:[soldInAuction12]])</f>
        <v>5</v>
      </c>
      <c r="W164" s="7">
        <f>SUM(Table3[[#This Row],[foreignHorse1]:[foreignHorse12]])</f>
        <v>0</v>
      </c>
      <c r="X164" s="3">
        <v>350000</v>
      </c>
      <c r="Y164" s="3">
        <v>-12925.93</v>
      </c>
      <c r="Z164" s="3">
        <v>52000</v>
      </c>
      <c r="AA164" s="3">
        <v>50000</v>
      </c>
      <c r="AB164" s="3">
        <v>120000</v>
      </c>
      <c r="AC164" s="3">
        <v>-50000</v>
      </c>
      <c r="AD164" s="3">
        <v>-25000</v>
      </c>
      <c r="AE164" s="3"/>
      <c r="AF164" s="3"/>
      <c r="AG164" s="3"/>
      <c r="AH164" s="3"/>
      <c r="AI164" s="3"/>
      <c r="AJ164" s="3">
        <v>0</v>
      </c>
      <c r="AK164" s="3">
        <v>0</v>
      </c>
      <c r="AL164" s="3">
        <v>0</v>
      </c>
      <c r="AM164" s="3">
        <v>0</v>
      </c>
      <c r="AN164" s="3"/>
      <c r="AO164" s="3"/>
      <c r="AP164" s="3"/>
      <c r="AQ164" s="3"/>
      <c r="AR164" s="3"/>
      <c r="AS164" s="3"/>
      <c r="AT164" s="3"/>
      <c r="AU164" s="3"/>
      <c r="AV164" s="3">
        <v>350000</v>
      </c>
      <c r="AW164" s="3">
        <v>20000</v>
      </c>
      <c r="AX164" s="3">
        <v>92000</v>
      </c>
      <c r="AY164" s="3">
        <v>80000</v>
      </c>
      <c r="AZ164" s="3">
        <v>140000</v>
      </c>
      <c r="BA164" s="3"/>
      <c r="BB164" s="3"/>
      <c r="BC164" s="3"/>
      <c r="BD164" s="3"/>
      <c r="BE164" s="3"/>
      <c r="BF164" s="3"/>
      <c r="BG164" s="3"/>
      <c r="BH164" s="3">
        <v>0</v>
      </c>
      <c r="BI164" s="3">
        <v>-32925.93</v>
      </c>
      <c r="BJ164" s="3">
        <v>-40000</v>
      </c>
      <c r="BK164" s="3">
        <v>-30000</v>
      </c>
      <c r="BL164" s="3">
        <v>-20000</v>
      </c>
      <c r="BM164" s="3">
        <v>-50000</v>
      </c>
      <c r="BN164" s="3">
        <v>-25000</v>
      </c>
      <c r="BO164" s="3"/>
      <c r="BP164" s="3"/>
      <c r="BQ164" s="3"/>
      <c r="BR164" s="3"/>
      <c r="BS164" s="3"/>
      <c r="BT164" s="1">
        <v>0</v>
      </c>
      <c r="BU164" s="1">
        <v>0</v>
      </c>
      <c r="BV164" s="1">
        <v>0</v>
      </c>
      <c r="BW164" s="1">
        <v>0</v>
      </c>
      <c r="BX164" s="1"/>
      <c r="BY164" s="1"/>
      <c r="BZ164" s="1"/>
      <c r="CA164" s="1"/>
      <c r="CB164" s="1"/>
      <c r="CC164" s="1"/>
      <c r="CD164" s="1"/>
      <c r="CE164" s="1"/>
      <c r="CF164" s="1">
        <v>1</v>
      </c>
      <c r="CG164" s="1">
        <v>1</v>
      </c>
      <c r="CH164" s="1">
        <v>1</v>
      </c>
      <c r="CI164" s="1">
        <v>1</v>
      </c>
      <c r="CJ164" s="1">
        <v>1</v>
      </c>
      <c r="CK164" s="1">
        <v>0</v>
      </c>
      <c r="CL164" s="1">
        <v>0</v>
      </c>
      <c r="CM164" s="1"/>
      <c r="CN164" s="1"/>
      <c r="CO164" s="1"/>
      <c r="CP164" s="1"/>
      <c r="CQ164" s="1"/>
      <c r="CR164" s="1">
        <v>1</v>
      </c>
      <c r="CS164" s="1">
        <v>1</v>
      </c>
      <c r="CT164" s="1">
        <v>1</v>
      </c>
      <c r="CU164" s="1">
        <v>1</v>
      </c>
      <c r="CV164" s="1">
        <v>1</v>
      </c>
      <c r="CW164" s="1">
        <v>0</v>
      </c>
      <c r="CX164" s="1">
        <v>0</v>
      </c>
      <c r="CY164" s="1"/>
      <c r="CZ164" s="1"/>
      <c r="DA164" s="1"/>
      <c r="DB164" s="1"/>
      <c r="DC164" s="1"/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/>
      <c r="DL164" s="1"/>
      <c r="DM164" s="1"/>
      <c r="DN164" s="1"/>
      <c r="DO164" s="1"/>
      <c r="DP164" s="1">
        <v>9</v>
      </c>
      <c r="DQ164" s="1">
        <v>10</v>
      </c>
      <c r="DR164" s="1">
        <v>11</v>
      </c>
      <c r="DS164" s="1">
        <v>12</v>
      </c>
      <c r="DT164" s="1">
        <v>13</v>
      </c>
      <c r="DU164" s="1">
        <v>14</v>
      </c>
      <c r="DV164" s="1">
        <v>15</v>
      </c>
      <c r="DW164" s="1"/>
      <c r="DX164" s="1"/>
      <c r="DY164" s="1"/>
      <c r="DZ164" s="1"/>
      <c r="EA164" s="1"/>
    </row>
    <row r="165" spans="1:131" x14ac:dyDescent="0.3">
      <c r="A165">
        <v>7488349</v>
      </c>
      <c r="B165" s="1" t="s">
        <v>173</v>
      </c>
      <c r="C165" s="1" t="s">
        <v>24</v>
      </c>
      <c r="D165" s="1">
        <v>2019</v>
      </c>
      <c r="E165" s="1">
        <v>8</v>
      </c>
      <c r="F165" s="10">
        <f>Table3[[#This Row],[First season 
with SF]]+Table3[[#This Row],['# Services 
provided]]</f>
        <v>15</v>
      </c>
      <c r="G165" s="26">
        <f>(Table3[[#This Row],[Total Income 
(Race + Price 
sold + Offs - maintenance cost)]]-Table3[[#This Row],[Price 
Bought]])/Table3[[#This Row],[Price 
Bought]]</f>
        <v>-1.4613163454545455</v>
      </c>
      <c r="H165" s="31">
        <f>Table3[[#This Row],[Race 
earnings]]+Table3[[#This Row],[Price 
Sold]]-Table3[[#This Row],[Maintenance cost]]+Table3[[#This Row],[Total 
profit (Income - cost)]]</f>
        <v>-126861.995</v>
      </c>
      <c r="I165" s="3">
        <f>_xlfn.IFNA(VLOOKUP(Table3[[#This Row],[damId]],Sheet1!$A$2:$M$970,5, FALSE), VLOOKUP(Table3[[#This Row],[dam]],Sheet1!$B$2:$M$970,4, FALSE))</f>
        <v>0</v>
      </c>
      <c r="J165" s="3">
        <f>_xlfn.IFNA(VLOOKUP(Table3[[#This Row],[damId]],Sheet1!$A$2:$M$970,13, FALSE), VLOOKUP(Table3[[#This Row],[dam]],Sheet1!$B$2:$M$970,13, FALSE))</f>
        <v>-275000</v>
      </c>
      <c r="K165" s="3">
        <f>_xlfn.IFNA(VLOOKUP(Table3[[#This Row],[damId]],Sheet1!$A$2:$M$970,11, FALSE), VLOOKUP(Table3[[#This Row],[dam]],Sheet1!$B$2:$M$970,11, FALSE))</f>
        <v>275000</v>
      </c>
      <c r="L165" s="3">
        <f>_xlfn.IFNA(VLOOKUP(Table3[[#This Row],[damId]],Sheet1!$A$2:$M$970,12, FALSE), VLOOKUP(Table3[[#This Row],[dam]],Sheet1!$B$2:$M$970,12, FALSE))</f>
        <v>0</v>
      </c>
      <c r="M165" s="3">
        <f>_xlfn.IFNA(VLOOKUP(Table3[[#This Row],[damId]],Sheet1!$A$2:$T$970,20, FALSE), VLOOKUP(Table3[[#This Row],[dam]],Sheet1!$B$2:$T$970,20, FALSE))*Sheet1!$AD$3</f>
        <v>94315.064999999988</v>
      </c>
      <c r="N165" s="3">
        <f>Table3[[#This Row],[Total 
income (Earnings + value - stud fee)]]-Table3[[#This Row],[Maintenance cost ]]</f>
        <v>-32546.930000000008</v>
      </c>
      <c r="O165" s="3">
        <f>SUM(Table3[[#This Row],[income1]:[income12]])</f>
        <v>63740.739999999991</v>
      </c>
      <c r="P165" s="3">
        <f>_xlfn.IFNA(VLOOKUP(Table3[[#This Row],[damId]],Sheet1!$A$2:$Y$970,23, FALSE), VLOOKUP(Table3[[#This Row],[dam]],Sheet1!$B$2:$Y$970,23, FALSE))*Sheet1!$AD$3</f>
        <v>96287.67</v>
      </c>
      <c r="Q165" s="3">
        <f>SUM(Table3[[#This Row],[earningsInRaces1]:[earningsInRaces12]])</f>
        <v>0</v>
      </c>
      <c r="R165" s="3">
        <f>SUM(Table3[[#This Row],[auctionPrice1]:[auctionPrice12]])</f>
        <v>579000</v>
      </c>
      <c r="S165" s="3">
        <f>SUM(Table3[[#This Row],[studFeeUSD1]:[studFeeUSD12]])</f>
        <v>-515259.26</v>
      </c>
      <c r="T165" s="7">
        <f>COUNT(Table3[[#This Row],[successfulService1]:[successfulService12]])</f>
        <v>7</v>
      </c>
      <c r="U165" s="7">
        <f>SUM(Table3[[#This Row],[successfulService1]:[successfulService12]])</f>
        <v>4</v>
      </c>
      <c r="V165" s="7">
        <f>SUM(Table3[[#This Row],[soldInAuction1]:[soldInAuction12]])</f>
        <v>4</v>
      </c>
      <c r="W165" s="7">
        <f>SUM(Table3[[#This Row],[foreignHorse1]:[foreignHorse12]])</f>
        <v>0</v>
      </c>
      <c r="X165" s="3">
        <v>27000</v>
      </c>
      <c r="Y165" s="3">
        <v>-43259.26</v>
      </c>
      <c r="Z165" s="3">
        <v>280000</v>
      </c>
      <c r="AA165" s="3">
        <v>140000</v>
      </c>
      <c r="AB165" s="3">
        <v>-60000</v>
      </c>
      <c r="AC165" s="3">
        <v>-80000</v>
      </c>
      <c r="AD165" s="3">
        <v>-200000</v>
      </c>
      <c r="AE165" s="3"/>
      <c r="AF165" s="3"/>
      <c r="AG165" s="3"/>
      <c r="AH165" s="3"/>
      <c r="AI165" s="3"/>
      <c r="AJ165" s="3">
        <v>0</v>
      </c>
      <c r="AK165" s="3">
        <v>0</v>
      </c>
      <c r="AL165" s="3">
        <v>0</v>
      </c>
      <c r="AM165" s="3">
        <v>0</v>
      </c>
      <c r="AN165" s="3"/>
      <c r="AO165" s="3"/>
      <c r="AP165" s="3"/>
      <c r="AQ165" s="3"/>
      <c r="AR165" s="3"/>
      <c r="AS165" s="3"/>
      <c r="AT165" s="3"/>
      <c r="AU165" s="3"/>
      <c r="AV165" s="3">
        <v>27000</v>
      </c>
      <c r="AW165" s="3">
        <v>32000</v>
      </c>
      <c r="AX165" s="3">
        <v>350000</v>
      </c>
      <c r="AY165" s="3">
        <v>170000</v>
      </c>
      <c r="AZ165" s="3"/>
      <c r="BA165" s="3"/>
      <c r="BB165" s="3"/>
      <c r="BC165" s="3"/>
      <c r="BD165" s="3"/>
      <c r="BE165" s="3"/>
      <c r="BF165" s="3"/>
      <c r="BG165" s="3"/>
      <c r="BH165" s="3">
        <v>0</v>
      </c>
      <c r="BI165" s="3">
        <v>-75259.259999999995</v>
      </c>
      <c r="BJ165" s="3">
        <v>-70000</v>
      </c>
      <c r="BK165" s="3">
        <v>-30000</v>
      </c>
      <c r="BL165" s="3">
        <v>-60000</v>
      </c>
      <c r="BM165" s="3">
        <v>-80000</v>
      </c>
      <c r="BN165" s="3">
        <v>-200000</v>
      </c>
      <c r="BO165" s="3"/>
      <c r="BP165" s="3"/>
      <c r="BQ165" s="3"/>
      <c r="BR165" s="3"/>
      <c r="BS165" s="3"/>
      <c r="BT165" s="1">
        <v>0</v>
      </c>
      <c r="BU165" s="1">
        <v>0</v>
      </c>
      <c r="BV165" s="1">
        <v>0</v>
      </c>
      <c r="BW165" s="1">
        <v>0</v>
      </c>
      <c r="BX165" s="1"/>
      <c r="BY165" s="1"/>
      <c r="BZ165" s="1"/>
      <c r="CA165" s="1"/>
      <c r="CB165" s="1"/>
      <c r="CC165" s="1"/>
      <c r="CD165" s="1"/>
      <c r="CE165" s="1"/>
      <c r="CF165" s="1">
        <v>1</v>
      </c>
      <c r="CG165" s="1">
        <v>1</v>
      </c>
      <c r="CH165" s="1">
        <v>1</v>
      </c>
      <c r="CI165" s="1">
        <v>1</v>
      </c>
      <c r="CJ165" s="1">
        <v>0</v>
      </c>
      <c r="CK165" s="1">
        <v>0</v>
      </c>
      <c r="CL165" s="1">
        <v>0</v>
      </c>
      <c r="CM165" s="1"/>
      <c r="CN165" s="1"/>
      <c r="CO165" s="1"/>
      <c r="CP165" s="1"/>
      <c r="CQ165" s="1"/>
      <c r="CR165" s="1">
        <v>1</v>
      </c>
      <c r="CS165" s="1">
        <v>1</v>
      </c>
      <c r="CT165" s="1">
        <v>1</v>
      </c>
      <c r="CU165" s="1">
        <v>1</v>
      </c>
      <c r="CV165" s="1">
        <v>0</v>
      </c>
      <c r="CW165" s="1">
        <v>0</v>
      </c>
      <c r="CX165" s="1">
        <v>0</v>
      </c>
      <c r="CY165" s="1"/>
      <c r="CZ165" s="1"/>
      <c r="DA165" s="1"/>
      <c r="DB165" s="1"/>
      <c r="DC165" s="1"/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/>
      <c r="DL165" s="1"/>
      <c r="DM165" s="1"/>
      <c r="DN165" s="1"/>
      <c r="DO165" s="1"/>
      <c r="DP165" s="1">
        <v>8</v>
      </c>
      <c r="DQ165" s="1">
        <v>9</v>
      </c>
      <c r="DR165" s="1">
        <v>10</v>
      </c>
      <c r="DS165" s="1">
        <v>11</v>
      </c>
      <c r="DT165" s="1">
        <v>12</v>
      </c>
      <c r="DU165" s="1">
        <v>13</v>
      </c>
      <c r="DV165" s="1">
        <v>14</v>
      </c>
      <c r="DW165" s="1"/>
      <c r="DX165" s="1"/>
      <c r="DY165" s="1"/>
      <c r="DZ165" s="1"/>
      <c r="EA165" s="1"/>
    </row>
    <row r="166" spans="1:131" x14ac:dyDescent="0.3">
      <c r="A166">
        <v>7493049</v>
      </c>
      <c r="B166" s="1" t="s">
        <v>175</v>
      </c>
      <c r="C166" s="1" t="s">
        <v>24</v>
      </c>
      <c r="D166" s="1">
        <v>2019</v>
      </c>
      <c r="E166" s="1">
        <v>8</v>
      </c>
      <c r="F166" s="10">
        <f>Table3[[#This Row],[First season 
with SF]]+Table3[[#This Row],['# Services 
provided]]</f>
        <v>13</v>
      </c>
      <c r="G166" s="26">
        <f>(Table3[[#This Row],[Total Income 
(Race + Price 
sold + Offs - maintenance cost)]]-Table3[[#This Row],[Price 
Bought]])/Table3[[#This Row],[Price 
Bought]]</f>
        <v>-1.6571428571428573</v>
      </c>
      <c r="H166" s="31">
        <f>Table3[[#This Row],[Race 
earnings]]+Table3[[#This Row],[Price 
Sold]]-Table3[[#This Row],[Maintenance cost]]+Table3[[#This Row],[Total 
profit (Income - cost)]]</f>
        <v>-92000</v>
      </c>
      <c r="I166" s="3">
        <f>_xlfn.IFNA(VLOOKUP(Table3[[#This Row],[damId]],Sheet1!$A$2:$M$970,5, FALSE), VLOOKUP(Table3[[#This Row],[dam]],Sheet1!$B$2:$M$970,4, FALSE))</f>
        <v>0</v>
      </c>
      <c r="J166" s="3">
        <f>_xlfn.IFNA(VLOOKUP(Table3[[#This Row],[damId]],Sheet1!$A$2:$M$970,13, FALSE), VLOOKUP(Table3[[#This Row],[dam]],Sheet1!$B$2:$M$970,13, FALSE))</f>
        <v>-140000</v>
      </c>
      <c r="K166" s="3">
        <f>_xlfn.IFNA(VLOOKUP(Table3[[#This Row],[damId]],Sheet1!$A$2:$M$970,11, FALSE), VLOOKUP(Table3[[#This Row],[dam]],Sheet1!$B$2:$M$970,11, FALSE))</f>
        <v>140000</v>
      </c>
      <c r="L166" s="3">
        <f>_xlfn.IFNA(VLOOKUP(Table3[[#This Row],[damId]],Sheet1!$A$2:$M$970,12, FALSE), VLOOKUP(Table3[[#This Row],[dam]],Sheet1!$B$2:$M$970,12, FALSE))</f>
        <v>0</v>
      </c>
      <c r="M166" s="3">
        <f>_xlfn.IFNA(VLOOKUP(Table3[[#This Row],[damId]],Sheet1!$A$2:$T$970,20, FALSE), VLOOKUP(Table3[[#This Row],[dam]],Sheet1!$B$2:$T$970,20, FALSE))*Sheet1!$AD$3</f>
        <v>94356.164999999994</v>
      </c>
      <c r="N166" s="3">
        <f>Table3[[#This Row],[Total 
income (Earnings + value - stud fee)]]-Table3[[#This Row],[Maintenance cost ]]</f>
        <v>2356.1650000000009</v>
      </c>
      <c r="O166" s="3">
        <f>SUM(Table3[[#This Row],[income1]:[income12]])</f>
        <v>40000</v>
      </c>
      <c r="P166" s="3">
        <f>_xlfn.IFNA(VLOOKUP(Table3[[#This Row],[damId]],Sheet1!$A$2:$Y$970,23, FALSE), VLOOKUP(Table3[[#This Row],[dam]],Sheet1!$B$2:$Y$970,23, FALSE))*Sheet1!$AD$3</f>
        <v>37643.834999999999</v>
      </c>
      <c r="Q166" s="3">
        <f>SUM(Table3[[#This Row],[earningsInRaces1]:[earningsInRaces12]])</f>
        <v>0</v>
      </c>
      <c r="R166" s="3">
        <f>SUM(Table3[[#This Row],[auctionPrice1]:[auctionPrice12]])</f>
        <v>155000</v>
      </c>
      <c r="S166" s="3">
        <f>SUM(Table3[[#This Row],[studFeeUSD1]:[studFeeUSD12]])</f>
        <v>-115000</v>
      </c>
      <c r="T166" s="7">
        <f>COUNT(Table3[[#This Row],[successfulService1]:[successfulService12]])</f>
        <v>5</v>
      </c>
      <c r="U166" s="7">
        <f>SUM(Table3[[#This Row],[successfulService1]:[successfulService12]])</f>
        <v>3</v>
      </c>
      <c r="V166" s="7">
        <f>SUM(Table3[[#This Row],[soldInAuction1]:[soldInAuction12]])</f>
        <v>3</v>
      </c>
      <c r="W166" s="7">
        <f>SUM(Table3[[#This Row],[foreignHorse1]:[foreignHorse12]])</f>
        <v>0</v>
      </c>
      <c r="X166" s="3">
        <v>130000</v>
      </c>
      <c r="Y166" s="3">
        <v>-10000</v>
      </c>
      <c r="Z166" s="3">
        <v>-20000</v>
      </c>
      <c r="AA166" s="3">
        <v>-30000</v>
      </c>
      <c r="AB166" s="3">
        <v>-30000</v>
      </c>
      <c r="AC166" s="3"/>
      <c r="AD166" s="3"/>
      <c r="AE166" s="3"/>
      <c r="AF166" s="3"/>
      <c r="AG166" s="3"/>
      <c r="AH166" s="3"/>
      <c r="AI166" s="3"/>
      <c r="AJ166" s="3">
        <v>0</v>
      </c>
      <c r="AK166" s="3">
        <v>0</v>
      </c>
      <c r="AL166" s="3">
        <v>0</v>
      </c>
      <c r="AM166" s="3"/>
      <c r="AN166" s="3"/>
      <c r="AO166" s="3"/>
      <c r="AP166" s="3"/>
      <c r="AQ166" s="3"/>
      <c r="AR166" s="3"/>
      <c r="AS166" s="3"/>
      <c r="AT166" s="3"/>
      <c r="AU166" s="3"/>
      <c r="AV166" s="3">
        <v>130000</v>
      </c>
      <c r="AW166" s="3">
        <v>20000</v>
      </c>
      <c r="AX166" s="3">
        <v>5000</v>
      </c>
      <c r="AY166" s="3"/>
      <c r="AZ166" s="3"/>
      <c r="BA166" s="3"/>
      <c r="BB166" s="3"/>
      <c r="BC166" s="3"/>
      <c r="BD166" s="3"/>
      <c r="BE166" s="3"/>
      <c r="BF166" s="3"/>
      <c r="BG166" s="3"/>
      <c r="BH166" s="3">
        <v>0</v>
      </c>
      <c r="BI166" s="3">
        <v>-30000</v>
      </c>
      <c r="BJ166" s="3">
        <v>-25000</v>
      </c>
      <c r="BK166" s="3">
        <v>-30000</v>
      </c>
      <c r="BL166" s="3">
        <v>-30000</v>
      </c>
      <c r="BM166" s="3"/>
      <c r="BN166" s="3"/>
      <c r="BO166" s="3"/>
      <c r="BP166" s="3"/>
      <c r="BQ166" s="3"/>
      <c r="BR166" s="3"/>
      <c r="BS166" s="3"/>
      <c r="BT166" s="1">
        <v>0</v>
      </c>
      <c r="BU166" s="1">
        <v>0</v>
      </c>
      <c r="BV166" s="1">
        <v>0</v>
      </c>
      <c r="BW166" s="1"/>
      <c r="BX166" s="1"/>
      <c r="BY166" s="1"/>
      <c r="BZ166" s="1"/>
      <c r="CA166" s="1"/>
      <c r="CB166" s="1"/>
      <c r="CC166" s="1"/>
      <c r="CD166" s="1"/>
      <c r="CE166" s="1"/>
      <c r="CF166" s="1">
        <v>1</v>
      </c>
      <c r="CG166" s="1">
        <v>1</v>
      </c>
      <c r="CH166" s="1">
        <v>1</v>
      </c>
      <c r="CI166" s="1">
        <v>0</v>
      </c>
      <c r="CJ166" s="1">
        <v>0</v>
      </c>
      <c r="CK166" s="1"/>
      <c r="CL166" s="1"/>
      <c r="CM166" s="1"/>
      <c r="CN166" s="1"/>
      <c r="CO166" s="1"/>
      <c r="CP166" s="1"/>
      <c r="CQ166" s="1"/>
      <c r="CR166" s="1">
        <v>1</v>
      </c>
      <c r="CS166" s="1">
        <v>1</v>
      </c>
      <c r="CT166" s="1">
        <v>1</v>
      </c>
      <c r="CU166" s="1">
        <v>0</v>
      </c>
      <c r="CV166" s="1">
        <v>0</v>
      </c>
      <c r="CW166" s="1"/>
      <c r="CX166" s="1"/>
      <c r="CY166" s="1"/>
      <c r="CZ166" s="1"/>
      <c r="DA166" s="1"/>
      <c r="DB166" s="1"/>
      <c r="DC166" s="1"/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/>
      <c r="DJ166" s="1"/>
      <c r="DK166" s="1"/>
      <c r="DL166" s="1"/>
      <c r="DM166" s="1"/>
      <c r="DN166" s="1"/>
      <c r="DO166" s="1"/>
      <c r="DP166" s="1">
        <v>8</v>
      </c>
      <c r="DQ166" s="1">
        <v>9</v>
      </c>
      <c r="DR166" s="1">
        <v>10</v>
      </c>
      <c r="DS166" s="1">
        <v>11</v>
      </c>
      <c r="DT166" s="1">
        <v>12</v>
      </c>
      <c r="DU166" s="1"/>
      <c r="DV166" s="1"/>
      <c r="DW166" s="1"/>
      <c r="DX166" s="1"/>
      <c r="DY166" s="1"/>
      <c r="DZ166" s="1"/>
      <c r="EA166" s="1"/>
    </row>
    <row r="167" spans="1:131" x14ac:dyDescent="0.3">
      <c r="A167">
        <v>7688041</v>
      </c>
      <c r="B167" s="1" t="s">
        <v>183</v>
      </c>
      <c r="C167" s="1" t="s">
        <v>24</v>
      </c>
      <c r="D167" s="1">
        <v>2019</v>
      </c>
      <c r="E167" s="1">
        <v>7</v>
      </c>
      <c r="F167" s="10">
        <f>Table3[[#This Row],[First season 
with SF]]+Table3[[#This Row],['# Services 
provided]]</f>
        <v>13</v>
      </c>
      <c r="G167" s="26">
        <f>(Table3[[#This Row],[Total Income 
(Race + Price 
sold + Offs - maintenance cost)]]-Table3[[#This Row],[Price 
Bought]])/Table3[[#This Row],[Price 
Bought]]</f>
        <v>-2.9848351500000003</v>
      </c>
      <c r="H167" s="31">
        <f>Table3[[#This Row],[Race 
earnings]]+Table3[[#This Row],[Price 
Sold]]-Table3[[#This Row],[Maintenance cost]]+Table3[[#This Row],[Total 
profit (Income - cost)]]</f>
        <v>-396967.02999999997</v>
      </c>
      <c r="I167" s="3">
        <f>_xlfn.IFNA(VLOOKUP(Table3[[#This Row],[damId]],Sheet1!$A$2:$M$970,5, FALSE), VLOOKUP(Table3[[#This Row],[dam]],Sheet1!$B$2:$M$970,4, FALSE))</f>
        <v>0</v>
      </c>
      <c r="J167" s="3">
        <f>_xlfn.IFNA(VLOOKUP(Table3[[#This Row],[damId]],Sheet1!$A$2:$M$970,13, FALSE), VLOOKUP(Table3[[#This Row],[dam]],Sheet1!$B$2:$M$970,13, FALSE))</f>
        <v>-200000</v>
      </c>
      <c r="K167" s="3">
        <f>_xlfn.IFNA(VLOOKUP(Table3[[#This Row],[damId]],Sheet1!$A$2:$M$970,11, FALSE), VLOOKUP(Table3[[#This Row],[dam]],Sheet1!$B$2:$M$970,11, FALSE))</f>
        <v>200000</v>
      </c>
      <c r="L167" s="3">
        <f>_xlfn.IFNA(VLOOKUP(Table3[[#This Row],[damId]],Sheet1!$A$2:$M$970,12, FALSE), VLOOKUP(Table3[[#This Row],[dam]],Sheet1!$B$2:$M$970,12, FALSE))</f>
        <v>0</v>
      </c>
      <c r="M167" s="3">
        <f>_xlfn.IFNA(VLOOKUP(Table3[[#This Row],[damId]],Sheet1!$A$2:$T$970,20, FALSE), VLOOKUP(Table3[[#This Row],[dam]],Sheet1!$B$2:$T$970,20, FALSE))*Sheet1!$AD$3</f>
        <v>94356.164999999994</v>
      </c>
      <c r="N167" s="3">
        <f>Table3[[#This Row],[Total 
income (Earnings + value - stud fee)]]-Table3[[#This Row],[Maintenance cost ]]</f>
        <v>-302610.86499999999</v>
      </c>
      <c r="O167" s="3">
        <f>SUM(Table3[[#This Row],[income1]:[income12]])</f>
        <v>-255925.93</v>
      </c>
      <c r="P167" s="3">
        <f>_xlfn.IFNA(VLOOKUP(Table3[[#This Row],[damId]],Sheet1!$A$2:$Y$970,23, FALSE), VLOOKUP(Table3[[#This Row],[dam]],Sheet1!$B$2:$Y$970,23, FALSE))*Sheet1!$AD$3</f>
        <v>46684.934999999998</v>
      </c>
      <c r="Q167" s="3">
        <f>SUM(Table3[[#This Row],[earningsInRaces1]:[earningsInRaces12]])</f>
        <v>0</v>
      </c>
      <c r="R167" s="3">
        <f>SUM(Table3[[#This Row],[auctionPrice1]:[auctionPrice12]])</f>
        <v>39500</v>
      </c>
      <c r="S167" s="3">
        <f>SUM(Table3[[#This Row],[studFeeUSD1]:[studFeeUSD12]])</f>
        <v>-295425.93</v>
      </c>
      <c r="T167" s="7">
        <f>COUNT(Table3[[#This Row],[successfulService1]:[successfulService12]])</f>
        <v>6</v>
      </c>
      <c r="U167" s="7">
        <f>SUM(Table3[[#This Row],[successfulService1]:[successfulService12]])</f>
        <v>3</v>
      </c>
      <c r="V167" s="7">
        <f>SUM(Table3[[#This Row],[soldInAuction1]:[soldInAuction12]])</f>
        <v>3</v>
      </c>
      <c r="W167" s="7">
        <f>SUM(Table3[[#This Row],[foreignHorse1]:[foreignHorse12]])</f>
        <v>0</v>
      </c>
      <c r="X167" s="3">
        <v>32000</v>
      </c>
      <c r="Y167" s="3">
        <v>-32925.93</v>
      </c>
      <c r="Z167" s="3">
        <v>-25000</v>
      </c>
      <c r="AA167" s="3">
        <v>-18500</v>
      </c>
      <c r="AB167" s="3">
        <v>-11500</v>
      </c>
      <c r="AC167" s="3">
        <v>-200000</v>
      </c>
      <c r="AD167" s="3"/>
      <c r="AE167" s="3"/>
      <c r="AF167" s="3"/>
      <c r="AG167" s="3"/>
      <c r="AH167" s="3"/>
      <c r="AI167" s="3"/>
      <c r="AJ167" s="3">
        <v>0</v>
      </c>
      <c r="AK167" s="3"/>
      <c r="AL167" s="3"/>
      <c r="AM167" s="3">
        <v>0</v>
      </c>
      <c r="AN167" s="3"/>
      <c r="AO167" s="3"/>
      <c r="AP167" s="3"/>
      <c r="AQ167" s="3"/>
      <c r="AR167" s="3"/>
      <c r="AS167" s="3"/>
      <c r="AT167" s="3"/>
      <c r="AU167" s="3"/>
      <c r="AV167" s="3">
        <v>32000</v>
      </c>
      <c r="AW167" s="3"/>
      <c r="AX167" s="3"/>
      <c r="AY167" s="3">
        <v>4000</v>
      </c>
      <c r="AZ167" s="3">
        <v>3500</v>
      </c>
      <c r="BA167" s="3"/>
      <c r="BB167" s="3"/>
      <c r="BC167" s="3"/>
      <c r="BD167" s="3"/>
      <c r="BE167" s="3"/>
      <c r="BF167" s="3"/>
      <c r="BG167" s="3"/>
      <c r="BH167" s="3">
        <v>0</v>
      </c>
      <c r="BI167" s="3">
        <v>-32925.93</v>
      </c>
      <c r="BJ167" s="3">
        <v>-25000</v>
      </c>
      <c r="BK167" s="3">
        <v>-22500</v>
      </c>
      <c r="BL167" s="3">
        <v>-15000</v>
      </c>
      <c r="BM167" s="3">
        <v>-200000</v>
      </c>
      <c r="BN167" s="3"/>
      <c r="BO167" s="3"/>
      <c r="BP167" s="3"/>
      <c r="BQ167" s="3"/>
      <c r="BR167" s="3"/>
      <c r="BS167" s="3"/>
      <c r="BT167" s="1">
        <v>0</v>
      </c>
      <c r="BU167" s="1"/>
      <c r="BV167" s="1"/>
      <c r="BW167" s="1">
        <v>0</v>
      </c>
      <c r="BX167" s="1"/>
      <c r="BY167" s="1"/>
      <c r="BZ167" s="1"/>
      <c r="CA167" s="1"/>
      <c r="CB167" s="1"/>
      <c r="CC167" s="1"/>
      <c r="CD167" s="1"/>
      <c r="CE167" s="1"/>
      <c r="CF167" s="1">
        <v>1</v>
      </c>
      <c r="CG167" s="1">
        <v>0</v>
      </c>
      <c r="CH167" s="1">
        <v>0</v>
      </c>
      <c r="CI167" s="1">
        <v>1</v>
      </c>
      <c r="CJ167" s="1">
        <v>1</v>
      </c>
      <c r="CK167" s="1">
        <v>0</v>
      </c>
      <c r="CL167" s="1"/>
      <c r="CM167" s="1"/>
      <c r="CN167" s="1"/>
      <c r="CO167" s="1"/>
      <c r="CP167" s="1"/>
      <c r="CQ167" s="1"/>
      <c r="CR167" s="1">
        <v>1</v>
      </c>
      <c r="CS167" s="1">
        <v>0</v>
      </c>
      <c r="CT167" s="1">
        <v>0</v>
      </c>
      <c r="CU167" s="1">
        <v>1</v>
      </c>
      <c r="CV167" s="1">
        <v>1</v>
      </c>
      <c r="CW167" s="1">
        <v>0</v>
      </c>
      <c r="CX167" s="1"/>
      <c r="CY167" s="1"/>
      <c r="CZ167" s="1"/>
      <c r="DA167" s="1"/>
      <c r="DB167" s="1"/>
      <c r="DC167" s="1"/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/>
      <c r="DK167" s="1"/>
      <c r="DL167" s="1"/>
      <c r="DM167" s="1"/>
      <c r="DN167" s="1"/>
      <c r="DO167" s="1"/>
      <c r="DP167" s="1">
        <v>7</v>
      </c>
      <c r="DQ167" s="1">
        <v>8</v>
      </c>
      <c r="DR167" s="1">
        <v>9</v>
      </c>
      <c r="DS167" s="1">
        <v>10</v>
      </c>
      <c r="DT167" s="1">
        <v>11</v>
      </c>
      <c r="DU167" s="1">
        <v>12</v>
      </c>
      <c r="DV167" s="1"/>
      <c r="DW167" s="1"/>
      <c r="DX167" s="1"/>
      <c r="DY167" s="1"/>
      <c r="DZ167" s="1"/>
      <c r="EA167" s="1"/>
    </row>
    <row r="168" spans="1:131" x14ac:dyDescent="0.3">
      <c r="A168">
        <v>7730273</v>
      </c>
      <c r="B168" s="1" t="s">
        <v>197</v>
      </c>
      <c r="C168" s="1" t="s">
        <v>24</v>
      </c>
      <c r="D168" s="1">
        <v>2019</v>
      </c>
      <c r="E168" s="1">
        <v>6</v>
      </c>
      <c r="F168" s="10">
        <f>Table3[[#This Row],[First season 
with SF]]+Table3[[#This Row],['# Services 
provided]]</f>
        <v>7</v>
      </c>
      <c r="G168" s="26">
        <f>(Table3[[#This Row],[Total Income 
(Race + Price 
sold + Offs - maintenance cost)]]-Table3[[#This Row],[Price 
Bought]])/Table3[[#This Row],[Price 
Bought]]</f>
        <v>1.0203062764705881</v>
      </c>
      <c r="H168" s="31">
        <f>Table3[[#This Row],[Race 
earnings]]+Table3[[#This Row],[Price 
Sold]]-Table3[[#This Row],[Maintenance cost]]+Table3[[#This Row],[Total 
profit (Income - cost)]]</f>
        <v>171726.03349999999</v>
      </c>
      <c r="I168" s="3">
        <f>_xlfn.IFNA(VLOOKUP(Table3[[#This Row],[damId]],Sheet1!$A$2:$M$970,5, FALSE), VLOOKUP(Table3[[#This Row],[dam]],Sheet1!$B$2:$M$970,4, FALSE))</f>
        <v>0</v>
      </c>
      <c r="J168" s="3">
        <f>_xlfn.IFNA(VLOOKUP(Table3[[#This Row],[damId]],Sheet1!$A$2:$M$970,13, FALSE), VLOOKUP(Table3[[#This Row],[dam]],Sheet1!$B$2:$M$970,13, FALSE))</f>
        <v>-54000</v>
      </c>
      <c r="K168" s="3">
        <f>_xlfn.IFNA(VLOOKUP(Table3[[#This Row],[damId]],Sheet1!$A$2:$M$970,11, FALSE), VLOOKUP(Table3[[#This Row],[dam]],Sheet1!$B$2:$M$970,11, FALSE))</f>
        <v>85000</v>
      </c>
      <c r="L168" s="3">
        <f>_xlfn.IFNA(VLOOKUP(Table3[[#This Row],[damId]],Sheet1!$A$2:$M$970,12, FALSE), VLOOKUP(Table3[[#This Row],[dam]],Sheet1!$B$2:$M$970,12, FALSE))</f>
        <v>31000</v>
      </c>
      <c r="M168" s="3">
        <f>_xlfn.IFNA(VLOOKUP(Table3[[#This Row],[damId]],Sheet1!$A$2:$T$970,20, FALSE), VLOOKUP(Table3[[#This Row],[dam]],Sheet1!$B$2:$T$970,20, FALSE))*Sheet1!$AD$3</f>
        <v>14095.8915</v>
      </c>
      <c r="N168" s="3">
        <f>Table3[[#This Row],[Total 
income (Earnings + value - stud fee)]]-Table3[[#This Row],[Maintenance cost ]]</f>
        <v>154821.92499999999</v>
      </c>
      <c r="O168" s="3">
        <f>SUM(Table3[[#This Row],[income1]:[income12]])</f>
        <v>175000</v>
      </c>
      <c r="P168" s="3">
        <f>_xlfn.IFNA(VLOOKUP(Table3[[#This Row],[damId]],Sheet1!$A$2:$Y$970,23, FALSE), VLOOKUP(Table3[[#This Row],[dam]],Sheet1!$B$2:$Y$970,23, FALSE))*Sheet1!$AD$3</f>
        <v>20178.075000000001</v>
      </c>
      <c r="Q168" s="3">
        <f>SUM(Table3[[#This Row],[earningsInRaces1]:[earningsInRaces12]])</f>
        <v>0</v>
      </c>
      <c r="R168" s="3">
        <f>SUM(Table3[[#This Row],[auctionPrice1]:[auctionPrice12]])</f>
        <v>175000</v>
      </c>
      <c r="S168" s="3">
        <f>SUM(Table3[[#This Row],[studFeeUSD1]:[studFeeUSD12]])</f>
        <v>0</v>
      </c>
      <c r="T168" s="7">
        <f>COUNT(Table3[[#This Row],[successfulService1]:[successfulService12]])</f>
        <v>1</v>
      </c>
      <c r="U168" s="7">
        <f>SUM(Table3[[#This Row],[successfulService1]:[successfulService12]])</f>
        <v>1</v>
      </c>
      <c r="V168" s="7">
        <f>SUM(Table3[[#This Row],[soldInAuction1]:[soldInAuction12]])</f>
        <v>1</v>
      </c>
      <c r="W168" s="7">
        <f>SUM(Table3[[#This Row],[foreignHorse1]:[foreignHorse12]])</f>
        <v>0</v>
      </c>
      <c r="X168" s="3">
        <v>175000</v>
      </c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>
        <v>0</v>
      </c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>
        <v>175000</v>
      </c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>
        <v>0</v>
      </c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1">
        <v>0</v>
      </c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>
        <v>1</v>
      </c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>
        <v>1</v>
      </c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>
        <v>0</v>
      </c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>
        <v>6</v>
      </c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</row>
    <row r="169" spans="1:131" x14ac:dyDescent="0.3">
      <c r="A169">
        <v>7877979</v>
      </c>
      <c r="B169" s="1" t="s">
        <v>215</v>
      </c>
      <c r="C169" s="1" t="s">
        <v>24</v>
      </c>
      <c r="D169" s="1">
        <v>2019</v>
      </c>
      <c r="E169" s="1">
        <v>8</v>
      </c>
      <c r="F169" s="10">
        <f>Table3[[#This Row],[First season 
with SF]]+Table3[[#This Row],['# Services 
provided]]</f>
        <v>12</v>
      </c>
      <c r="G169" s="26">
        <f>(Table3[[#This Row],[Total Income 
(Race + Price 
sold + Offs - maintenance cost)]]-Table3[[#This Row],[Price 
Bought]])/Table3[[#This Row],[Price 
Bought]]</f>
        <v>-0.34159937499999998</v>
      </c>
      <c r="H169" s="31">
        <f>Table3[[#This Row],[Race 
earnings]]+Table3[[#This Row],[Price 
Sold]]-Table3[[#This Row],[Maintenance cost]]+Table3[[#This Row],[Total 
profit (Income - cost)]]</f>
        <v>131680.125</v>
      </c>
      <c r="I169" s="3">
        <f>_xlfn.IFNA(VLOOKUP(Table3[[#This Row],[damId]],Sheet1!$A$2:$M$970,5, FALSE), VLOOKUP(Table3[[#This Row],[dam]],Sheet1!$B$2:$M$970,4, FALSE))</f>
        <v>0</v>
      </c>
      <c r="J169" s="3">
        <f>_xlfn.IFNA(VLOOKUP(Table3[[#This Row],[damId]],Sheet1!$A$2:$M$970,13, FALSE), VLOOKUP(Table3[[#This Row],[dam]],Sheet1!$B$2:$M$970,13, FALSE))</f>
        <v>-200000</v>
      </c>
      <c r="K169" s="3">
        <f>_xlfn.IFNA(VLOOKUP(Table3[[#This Row],[damId]],Sheet1!$A$2:$M$970,11, FALSE), VLOOKUP(Table3[[#This Row],[dam]],Sheet1!$B$2:$M$970,11, FALSE))</f>
        <v>200000</v>
      </c>
      <c r="L169" s="3">
        <f>_xlfn.IFNA(VLOOKUP(Table3[[#This Row],[damId]],Sheet1!$A$2:$M$970,12, FALSE), VLOOKUP(Table3[[#This Row],[dam]],Sheet1!$B$2:$M$970,12, FALSE))</f>
        <v>0</v>
      </c>
      <c r="M169" s="3">
        <f>_xlfn.IFNA(VLOOKUP(Table3[[#This Row],[damId]],Sheet1!$A$2:$T$970,20, FALSE), VLOOKUP(Table3[[#This Row],[dam]],Sheet1!$B$2:$T$970,20, FALSE))*Sheet1!$AD$3</f>
        <v>94356.164999999994</v>
      </c>
      <c r="N169" s="3">
        <f>Table3[[#This Row],[Total 
income (Earnings + value - stud fee)]]-Table3[[#This Row],[Maintenance cost ]]</f>
        <v>226036.29</v>
      </c>
      <c r="O169" s="3">
        <f>SUM(Table3[[#This Row],[income1]:[income12]])</f>
        <v>268981.5</v>
      </c>
      <c r="P169" s="3">
        <f>_xlfn.IFNA(VLOOKUP(Table3[[#This Row],[damId]],Sheet1!$A$2:$Y$970,23, FALSE), VLOOKUP(Table3[[#This Row],[dam]],Sheet1!$B$2:$Y$970,23, FALSE))*Sheet1!$AD$3</f>
        <v>42945.21</v>
      </c>
      <c r="Q169" s="3">
        <f>SUM(Table3[[#This Row],[earningsInRaces1]:[earningsInRaces12]])</f>
        <v>0</v>
      </c>
      <c r="R169" s="3">
        <f>SUM(Table3[[#This Row],[auctionPrice1]:[auctionPrice12]])</f>
        <v>335000</v>
      </c>
      <c r="S169" s="3">
        <f>SUM(Table3[[#This Row],[studFeeUSD1]:[studFeeUSD12]])</f>
        <v>-66018.52</v>
      </c>
      <c r="T169" s="7">
        <f>COUNT(Table3[[#This Row],[successfulService1]:[successfulService12]])</f>
        <v>4</v>
      </c>
      <c r="U169" s="7">
        <f>SUM(Table3[[#This Row],[successfulService1]:[successfulService12]])</f>
        <v>3</v>
      </c>
      <c r="V169" s="7">
        <f>SUM(Table3[[#This Row],[soldInAuction1]:[soldInAuction12]])</f>
        <v>3</v>
      </c>
      <c r="W169" s="7">
        <f>SUM(Table3[[#This Row],[foreignHorse1]:[foreignHorse12]])</f>
        <v>0</v>
      </c>
      <c r="X169" s="3">
        <v>95000</v>
      </c>
      <c r="Y169" s="3">
        <v>-20000</v>
      </c>
      <c r="Z169" s="3">
        <v>136481.5</v>
      </c>
      <c r="AA169" s="3">
        <v>57500</v>
      </c>
      <c r="AB169" s="3"/>
      <c r="AC169" s="3"/>
      <c r="AD169" s="3"/>
      <c r="AE169" s="3"/>
      <c r="AF169" s="3"/>
      <c r="AG169" s="3"/>
      <c r="AH169" s="3"/>
      <c r="AI169" s="3"/>
      <c r="AJ169" s="3">
        <v>0</v>
      </c>
      <c r="AK169" s="3"/>
      <c r="AL169" s="3">
        <v>0</v>
      </c>
      <c r="AM169" s="3">
        <v>0</v>
      </c>
      <c r="AN169" s="3"/>
      <c r="AO169" s="3"/>
      <c r="AP169" s="3"/>
      <c r="AQ169" s="3"/>
      <c r="AR169" s="3"/>
      <c r="AS169" s="3"/>
      <c r="AT169" s="3"/>
      <c r="AU169" s="3"/>
      <c r="AV169" s="3">
        <v>95000</v>
      </c>
      <c r="AW169" s="3"/>
      <c r="AX169" s="3">
        <v>160000</v>
      </c>
      <c r="AY169" s="3">
        <v>80000</v>
      </c>
      <c r="AZ169" s="3"/>
      <c r="BA169" s="3"/>
      <c r="BB169" s="3"/>
      <c r="BC169" s="3"/>
      <c r="BD169" s="3"/>
      <c r="BE169" s="3"/>
      <c r="BF169" s="3"/>
      <c r="BG169" s="3"/>
      <c r="BH169" s="3">
        <v>0</v>
      </c>
      <c r="BI169" s="3">
        <v>-20000</v>
      </c>
      <c r="BJ169" s="3">
        <v>-23518.52</v>
      </c>
      <c r="BK169" s="3">
        <v>-22500</v>
      </c>
      <c r="BL169" s="3"/>
      <c r="BM169" s="3"/>
      <c r="BN169" s="3"/>
      <c r="BO169" s="3"/>
      <c r="BP169" s="3"/>
      <c r="BQ169" s="3"/>
      <c r="BR169" s="3"/>
      <c r="BS169" s="3"/>
      <c r="BT169" s="1">
        <v>0</v>
      </c>
      <c r="BU169" s="1"/>
      <c r="BV169" s="1">
        <v>0</v>
      </c>
      <c r="BW169" s="1">
        <v>0</v>
      </c>
      <c r="BX169" s="1"/>
      <c r="BY169" s="1"/>
      <c r="BZ169" s="1"/>
      <c r="CA169" s="1"/>
      <c r="CB169" s="1"/>
      <c r="CC169" s="1"/>
      <c r="CD169" s="1"/>
      <c r="CE169" s="1"/>
      <c r="CF169" s="1">
        <v>1</v>
      </c>
      <c r="CG169" s="1">
        <v>0</v>
      </c>
      <c r="CH169" s="1">
        <v>1</v>
      </c>
      <c r="CI169" s="1">
        <v>1</v>
      </c>
      <c r="CJ169" s="1"/>
      <c r="CK169" s="1"/>
      <c r="CL169" s="1"/>
      <c r="CM169" s="1"/>
      <c r="CN169" s="1"/>
      <c r="CO169" s="1"/>
      <c r="CP169" s="1"/>
      <c r="CQ169" s="1"/>
      <c r="CR169" s="1">
        <v>1</v>
      </c>
      <c r="CS169" s="1">
        <v>0</v>
      </c>
      <c r="CT169" s="1">
        <v>1</v>
      </c>
      <c r="CU169" s="1">
        <v>1</v>
      </c>
      <c r="CV169" s="1"/>
      <c r="CW169" s="1"/>
      <c r="CX169" s="1"/>
      <c r="CY169" s="1"/>
      <c r="CZ169" s="1"/>
      <c r="DA169" s="1"/>
      <c r="DB169" s="1"/>
      <c r="DC169" s="1"/>
      <c r="DD169" s="1">
        <v>0</v>
      </c>
      <c r="DE169" s="1">
        <v>0</v>
      </c>
      <c r="DF169" s="1">
        <v>0</v>
      </c>
      <c r="DG169" s="1">
        <v>0</v>
      </c>
      <c r="DH169" s="1"/>
      <c r="DI169" s="1"/>
      <c r="DJ169" s="1"/>
      <c r="DK169" s="1"/>
      <c r="DL169" s="1"/>
      <c r="DM169" s="1"/>
      <c r="DN169" s="1"/>
      <c r="DO169" s="1"/>
      <c r="DP169" s="1">
        <v>8</v>
      </c>
      <c r="DQ169" s="1">
        <v>9</v>
      </c>
      <c r="DR169" s="1">
        <v>10</v>
      </c>
      <c r="DS169" s="1">
        <v>11</v>
      </c>
      <c r="DT169" s="1"/>
      <c r="DU169" s="1"/>
      <c r="DV169" s="1"/>
      <c r="DW169" s="1"/>
      <c r="DX169" s="1"/>
      <c r="DY169" s="1"/>
      <c r="DZ169" s="1"/>
      <c r="EA169" s="1"/>
    </row>
    <row r="170" spans="1:131" x14ac:dyDescent="0.3">
      <c r="A170">
        <v>7994285</v>
      </c>
      <c r="B170" s="1" t="s">
        <v>223</v>
      </c>
      <c r="C170" s="1" t="s">
        <v>24</v>
      </c>
      <c r="D170" s="1">
        <v>2019</v>
      </c>
      <c r="E170" s="1">
        <v>7</v>
      </c>
      <c r="F170" s="10">
        <f>Table3[[#This Row],[First season 
with SF]]+Table3[[#This Row],['# Services 
provided]]</f>
        <v>9</v>
      </c>
      <c r="G170" s="26">
        <f>(Table3[[#This Row],[Total Income 
(Race + Price 
sold + Offs - maintenance cost)]]-Table3[[#This Row],[Price 
Bought]])/Table3[[#This Row],[Price 
Bought]]</f>
        <v>-1.1748616304347825</v>
      </c>
      <c r="H170" s="31">
        <f>Table3[[#This Row],[Race 
earnings]]+Table3[[#This Row],[Price 
Sold]]-Table3[[#This Row],[Maintenance cost]]+Table3[[#This Row],[Total 
profit (Income - cost)]]</f>
        <v>-40218.175000000003</v>
      </c>
      <c r="I170" s="3">
        <f>_xlfn.IFNA(VLOOKUP(Table3[[#This Row],[damId]],Sheet1!$A$2:$M$970,5, FALSE), VLOOKUP(Table3[[#This Row],[dam]],Sheet1!$B$2:$M$970,4, FALSE))</f>
        <v>0</v>
      </c>
      <c r="J170" s="3">
        <f>_xlfn.IFNA(VLOOKUP(Table3[[#This Row],[damId]],Sheet1!$A$2:$M$970,13, FALSE), VLOOKUP(Table3[[#This Row],[dam]],Sheet1!$B$2:$M$970,13, FALSE))</f>
        <v>-155000</v>
      </c>
      <c r="K170" s="3">
        <f>_xlfn.IFNA(VLOOKUP(Table3[[#This Row],[damId]],Sheet1!$A$2:$M$970,11, FALSE), VLOOKUP(Table3[[#This Row],[dam]],Sheet1!$B$2:$M$970,11, FALSE))</f>
        <v>230000</v>
      </c>
      <c r="L170" s="3">
        <f>_xlfn.IFNA(VLOOKUP(Table3[[#This Row],[damId]],Sheet1!$A$2:$M$970,12, FALSE), VLOOKUP(Table3[[#This Row],[dam]],Sheet1!$B$2:$M$970,12, FALSE))</f>
        <v>75000</v>
      </c>
      <c r="M170" s="3">
        <f>_xlfn.IFNA(VLOOKUP(Table3[[#This Row],[damId]],Sheet1!$A$2:$T$970,20, FALSE), VLOOKUP(Table3[[#This Row],[dam]],Sheet1!$B$2:$T$970,20, FALSE))*Sheet1!$AD$3</f>
        <v>30205.484999999997</v>
      </c>
      <c r="N170" s="3">
        <f>Table3[[#This Row],[Total 
income (Earnings + value - stud fee)]]-Table3[[#This Row],[Maintenance cost ]]</f>
        <v>-85012.69</v>
      </c>
      <c r="O170" s="3">
        <f>SUM(Table3[[#This Row],[income1]:[income12]])</f>
        <v>-55259.259999999995</v>
      </c>
      <c r="P170" s="3">
        <f>_xlfn.IFNA(VLOOKUP(Table3[[#This Row],[damId]],Sheet1!$A$2:$Y$970,23, FALSE), VLOOKUP(Table3[[#This Row],[dam]],Sheet1!$B$2:$Y$970,23, FALSE))*Sheet1!$AD$3</f>
        <v>29753.43</v>
      </c>
      <c r="Q170" s="3">
        <f>SUM(Table3[[#This Row],[earningsInRaces1]:[earningsInRaces12]])</f>
        <v>0</v>
      </c>
      <c r="R170" s="3">
        <f>SUM(Table3[[#This Row],[auctionPrice1]:[auctionPrice12]])</f>
        <v>20000</v>
      </c>
      <c r="S170" s="3">
        <f>SUM(Table3[[#This Row],[studFeeUSD1]:[studFeeUSD12]])</f>
        <v>-75259.259999999995</v>
      </c>
      <c r="T170" s="7">
        <f>COUNT(Table3[[#This Row],[successfulService1]:[successfulService12]])</f>
        <v>2</v>
      </c>
      <c r="U170" s="7">
        <f>SUM(Table3[[#This Row],[successfulService1]:[successfulService12]])</f>
        <v>1</v>
      </c>
      <c r="V170" s="7">
        <f>SUM(Table3[[#This Row],[soldInAuction1]:[soldInAuction12]])</f>
        <v>1</v>
      </c>
      <c r="W170" s="7">
        <f>SUM(Table3[[#This Row],[foreignHorse1]:[foreignHorse12]])</f>
        <v>0</v>
      </c>
      <c r="X170" s="3">
        <v>20000</v>
      </c>
      <c r="Y170" s="3">
        <v>-75259.259999999995</v>
      </c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>
        <v>0</v>
      </c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>
        <v>20000</v>
      </c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>
        <v>0</v>
      </c>
      <c r="BI170" s="3">
        <v>-75259.259999999995</v>
      </c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1">
        <v>0</v>
      </c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>
        <v>1</v>
      </c>
      <c r="CG170" s="1">
        <v>0</v>
      </c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>
        <v>1</v>
      </c>
      <c r="CS170" s="1">
        <v>0</v>
      </c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>
        <v>0</v>
      </c>
      <c r="DE170" s="1">
        <v>0</v>
      </c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>
        <v>7</v>
      </c>
      <c r="DQ170" s="1">
        <v>8</v>
      </c>
      <c r="DR170" s="1"/>
      <c r="DS170" s="1"/>
      <c r="DT170" s="1"/>
      <c r="DU170" s="1"/>
      <c r="DV170" s="1"/>
      <c r="DW170" s="1"/>
      <c r="DX170" s="1"/>
      <c r="DY170" s="1"/>
      <c r="DZ170" s="1"/>
      <c r="EA170" s="1"/>
    </row>
    <row r="171" spans="1:131" x14ac:dyDescent="0.3">
      <c r="A171">
        <v>8064031</v>
      </c>
      <c r="B171" s="1" t="s">
        <v>244</v>
      </c>
      <c r="C171" s="1" t="s">
        <v>24</v>
      </c>
      <c r="D171" s="1">
        <v>2019</v>
      </c>
      <c r="E171" s="1">
        <v>6</v>
      </c>
      <c r="F171" s="10">
        <f>Table3[[#This Row],[First season 
with SF]]+Table3[[#This Row],['# Services 
provided]]</f>
        <v>14</v>
      </c>
      <c r="G171" s="26">
        <f>(Table3[[#This Row],[Total Income 
(Race + Price 
sold + Offs - maintenance cost)]]-Table3[[#This Row],[Price 
Bought]])/Table3[[#This Row],[Price 
Bought]]</f>
        <v>1.862561586956522</v>
      </c>
      <c r="H171" s="31">
        <f>Table3[[#This Row],[Race 
earnings]]+Table3[[#This Row],[Price 
Sold]]-Table3[[#This Row],[Maintenance cost]]+Table3[[#This Row],[Total 
profit (Income - cost)]]</f>
        <v>658389.16500000004</v>
      </c>
      <c r="I171" s="3">
        <f>_xlfn.IFNA(VLOOKUP(Table3[[#This Row],[damId]],Sheet1!$A$2:$M$970,5, FALSE), VLOOKUP(Table3[[#This Row],[dam]],Sheet1!$B$2:$M$970,4, FALSE))</f>
        <v>0</v>
      </c>
      <c r="J171" s="3">
        <f>_xlfn.IFNA(VLOOKUP(Table3[[#This Row],[damId]],Sheet1!$A$2:$M$970,13, FALSE), VLOOKUP(Table3[[#This Row],[dam]],Sheet1!$B$2:$M$970,13, FALSE))</f>
        <v>-230000</v>
      </c>
      <c r="K171" s="3">
        <f>_xlfn.IFNA(VLOOKUP(Table3[[#This Row],[damId]],Sheet1!$A$2:$M$970,11, FALSE), VLOOKUP(Table3[[#This Row],[dam]],Sheet1!$B$2:$M$970,11, FALSE))</f>
        <v>230000</v>
      </c>
      <c r="L171" s="3">
        <f>_xlfn.IFNA(VLOOKUP(Table3[[#This Row],[damId]],Sheet1!$A$2:$M$970,12, FALSE), VLOOKUP(Table3[[#This Row],[dam]],Sheet1!$B$2:$M$970,12, FALSE))</f>
        <v>0</v>
      </c>
      <c r="M171" s="3">
        <f>_xlfn.IFNA(VLOOKUP(Table3[[#This Row],[damId]],Sheet1!$A$2:$T$970,20, FALSE), VLOOKUP(Table3[[#This Row],[dam]],Sheet1!$B$2:$T$970,20, FALSE))*Sheet1!$AD$3</f>
        <v>94356.164999999994</v>
      </c>
      <c r="N171" s="3">
        <f>Table3[[#This Row],[Total 
income (Earnings + value - stud fee)]]-Table3[[#This Row],[Maintenance cost ]]</f>
        <v>752745.33000000007</v>
      </c>
      <c r="O171" s="3">
        <f>SUM(Table3[[#This Row],[income1]:[income12]])</f>
        <v>807074.10000000009</v>
      </c>
      <c r="P171" s="3">
        <f>_xlfn.IFNA(VLOOKUP(Table3[[#This Row],[damId]],Sheet1!$A$2:$Y$970,23, FALSE), VLOOKUP(Table3[[#This Row],[dam]],Sheet1!$B$2:$Y$970,23, FALSE))*Sheet1!$AD$3</f>
        <v>54328.77</v>
      </c>
      <c r="Q171" s="3">
        <f>SUM(Table3[[#This Row],[earningsInRaces1]:[earningsInRaces12]])</f>
        <v>0</v>
      </c>
      <c r="R171" s="3">
        <f>SUM(Table3[[#This Row],[auctionPrice1]:[auctionPrice12]])</f>
        <v>1435000</v>
      </c>
      <c r="S171" s="3">
        <f>SUM(Table3[[#This Row],[studFeeUSD1]:[studFeeUSD12]])</f>
        <v>-627925.92999999993</v>
      </c>
      <c r="T171" s="7">
        <f>COUNT(Table3[[#This Row],[successfulService1]:[successfulService12]])</f>
        <v>8</v>
      </c>
      <c r="U171" s="7">
        <f>SUM(Table3[[#This Row],[successfulService1]:[successfulService12]])</f>
        <v>5</v>
      </c>
      <c r="V171" s="7">
        <f>SUM(Table3[[#This Row],[soldInAuction1]:[soldInAuction12]])</f>
        <v>5</v>
      </c>
      <c r="W171" s="7">
        <f>SUM(Table3[[#This Row],[foreignHorse1]:[foreignHorse12]])</f>
        <v>0</v>
      </c>
      <c r="X171" s="3">
        <v>425000</v>
      </c>
      <c r="Y171" s="3">
        <v>327074.09999999998</v>
      </c>
      <c r="Z171" s="3">
        <v>125000</v>
      </c>
      <c r="AA171" s="3">
        <v>150000</v>
      </c>
      <c r="AB171" s="3">
        <v>40000</v>
      </c>
      <c r="AC171" s="3">
        <v>0</v>
      </c>
      <c r="AD171" s="3">
        <v>-60000</v>
      </c>
      <c r="AE171" s="3">
        <v>-200000</v>
      </c>
      <c r="AF171" s="3"/>
      <c r="AG171" s="3"/>
      <c r="AH171" s="3"/>
      <c r="AI171" s="3"/>
      <c r="AJ171" s="3">
        <v>0</v>
      </c>
      <c r="AK171" s="3">
        <v>0</v>
      </c>
      <c r="AL171" s="3">
        <v>0</v>
      </c>
      <c r="AM171" s="3">
        <v>0</v>
      </c>
      <c r="AN171" s="3"/>
      <c r="AO171" s="3"/>
      <c r="AP171" s="3"/>
      <c r="AQ171" s="3"/>
      <c r="AR171" s="3"/>
      <c r="AS171" s="3"/>
      <c r="AT171" s="3"/>
      <c r="AU171" s="3"/>
      <c r="AV171" s="3">
        <v>425000</v>
      </c>
      <c r="AW171" s="3">
        <v>360000</v>
      </c>
      <c r="AX171" s="3">
        <v>250000</v>
      </c>
      <c r="AY171" s="3">
        <v>300000</v>
      </c>
      <c r="AZ171" s="3">
        <v>100000</v>
      </c>
      <c r="BA171" s="3"/>
      <c r="BB171" s="3"/>
      <c r="BC171" s="3"/>
      <c r="BD171" s="3"/>
      <c r="BE171" s="3"/>
      <c r="BF171" s="3"/>
      <c r="BG171" s="3"/>
      <c r="BH171" s="3">
        <v>0</v>
      </c>
      <c r="BI171" s="3">
        <v>-32925.93</v>
      </c>
      <c r="BJ171" s="3">
        <v>-125000</v>
      </c>
      <c r="BK171" s="3">
        <v>-150000</v>
      </c>
      <c r="BL171" s="3">
        <v>-60000</v>
      </c>
      <c r="BM171" s="3"/>
      <c r="BN171" s="3">
        <v>-60000</v>
      </c>
      <c r="BO171" s="3">
        <v>-200000</v>
      </c>
      <c r="BP171" s="3"/>
      <c r="BQ171" s="3"/>
      <c r="BR171" s="3"/>
      <c r="BS171" s="3"/>
      <c r="BT171" s="1">
        <v>0</v>
      </c>
      <c r="BU171" s="1">
        <v>0</v>
      </c>
      <c r="BV171" s="1">
        <v>0</v>
      </c>
      <c r="BW171" s="1">
        <v>0</v>
      </c>
      <c r="BX171" s="1"/>
      <c r="BY171" s="1"/>
      <c r="BZ171" s="1"/>
      <c r="CA171" s="1"/>
      <c r="CB171" s="1"/>
      <c r="CC171" s="1"/>
      <c r="CD171" s="1"/>
      <c r="CE171" s="1"/>
      <c r="CF171" s="1">
        <v>1</v>
      </c>
      <c r="CG171" s="1">
        <v>1</v>
      </c>
      <c r="CH171" s="1">
        <v>1</v>
      </c>
      <c r="CI171" s="1">
        <v>1</v>
      </c>
      <c r="CJ171" s="1">
        <v>1</v>
      </c>
      <c r="CK171" s="1">
        <v>0</v>
      </c>
      <c r="CL171" s="1">
        <v>0</v>
      </c>
      <c r="CM171" s="1">
        <v>0</v>
      </c>
      <c r="CN171" s="1"/>
      <c r="CO171" s="1"/>
      <c r="CP171" s="1"/>
      <c r="CQ171" s="1"/>
      <c r="CR171" s="1">
        <v>1</v>
      </c>
      <c r="CS171" s="1">
        <v>1</v>
      </c>
      <c r="CT171" s="1">
        <v>1</v>
      </c>
      <c r="CU171" s="1">
        <v>1</v>
      </c>
      <c r="CV171" s="1">
        <v>1</v>
      </c>
      <c r="CW171" s="1">
        <v>0</v>
      </c>
      <c r="CX171" s="1">
        <v>0</v>
      </c>
      <c r="CY171" s="1">
        <v>0</v>
      </c>
      <c r="CZ171" s="1"/>
      <c r="DA171" s="1"/>
      <c r="DB171" s="1"/>
      <c r="DC171" s="1"/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/>
      <c r="DM171" s="1"/>
      <c r="DN171" s="1"/>
      <c r="DO171" s="1"/>
      <c r="DP171" s="1">
        <v>6</v>
      </c>
      <c r="DQ171" s="1">
        <v>7</v>
      </c>
      <c r="DR171" s="1">
        <v>8</v>
      </c>
      <c r="DS171" s="1">
        <v>9</v>
      </c>
      <c r="DT171" s="1">
        <v>10</v>
      </c>
      <c r="DU171" s="1">
        <v>11</v>
      </c>
      <c r="DV171" s="1">
        <v>11</v>
      </c>
      <c r="DW171" s="1">
        <v>12</v>
      </c>
      <c r="DX171" s="1"/>
      <c r="DY171" s="1"/>
      <c r="DZ171" s="1"/>
      <c r="EA171" s="1"/>
    </row>
    <row r="172" spans="1:131" x14ac:dyDescent="0.3">
      <c r="A172">
        <v>8298077</v>
      </c>
      <c r="B172" s="1" t="s">
        <v>262</v>
      </c>
      <c r="C172" s="1" t="s">
        <v>24</v>
      </c>
      <c r="D172" s="1">
        <v>2019</v>
      </c>
      <c r="E172" s="1">
        <v>7</v>
      </c>
      <c r="F172" s="10">
        <f>Table3[[#This Row],[First season 
with SF]]+Table3[[#This Row],['# Services 
provided]]</f>
        <v>9</v>
      </c>
      <c r="G172" s="26">
        <f>(Table3[[#This Row],[Total Income 
(Race + Price 
sold + Offs - maintenance cost)]]-Table3[[#This Row],[Price 
Bought]])/Table3[[#This Row],[Price 
Bought]]</f>
        <v>-0.73882457419354841</v>
      </c>
      <c r="H172" s="31">
        <f>Table3[[#This Row],[Race 
earnings]]+Table3[[#This Row],[Price 
Sold]]-Table3[[#This Row],[Maintenance cost]]+Table3[[#This Row],[Total 
profit (Income - cost)]]</f>
        <v>202410.95499999996</v>
      </c>
      <c r="I172" s="3">
        <f>_xlfn.IFNA(VLOOKUP(Table3[[#This Row],[damId]],Sheet1!$A$2:$M$970,5, FALSE), VLOOKUP(Table3[[#This Row],[dam]],Sheet1!$B$2:$M$970,4, FALSE))</f>
        <v>0</v>
      </c>
      <c r="J172" s="3">
        <f>_xlfn.IFNA(VLOOKUP(Table3[[#This Row],[damId]],Sheet1!$A$2:$M$970,13, FALSE), VLOOKUP(Table3[[#This Row],[dam]],Sheet1!$B$2:$M$970,13, FALSE))</f>
        <v>-775000</v>
      </c>
      <c r="K172" s="3">
        <f>_xlfn.IFNA(VLOOKUP(Table3[[#This Row],[damId]],Sheet1!$A$2:$M$970,11, FALSE), VLOOKUP(Table3[[#This Row],[dam]],Sheet1!$B$2:$M$970,11, FALSE))</f>
        <v>775000</v>
      </c>
      <c r="L172" s="3">
        <f>_xlfn.IFNA(VLOOKUP(Table3[[#This Row],[damId]],Sheet1!$A$2:$M$970,12, FALSE), VLOOKUP(Table3[[#This Row],[dam]],Sheet1!$B$2:$M$970,12, FALSE))</f>
        <v>0</v>
      </c>
      <c r="M172" s="3">
        <f>_xlfn.IFNA(VLOOKUP(Table3[[#This Row],[damId]],Sheet1!$A$2:$T$970,20, FALSE), VLOOKUP(Table3[[#This Row],[dam]],Sheet1!$B$2:$T$970,20, FALSE))*Sheet1!$AD$3</f>
        <v>94397.264999999999</v>
      </c>
      <c r="N172" s="3">
        <f>Table3[[#This Row],[Total 
income (Earnings + value - stud fee)]]-Table3[[#This Row],[Maintenance cost ]]</f>
        <v>296808.21999999997</v>
      </c>
      <c r="O172" s="3">
        <f>SUM(Table3[[#This Row],[income1]:[income12]])</f>
        <v>340000</v>
      </c>
      <c r="P172" s="3">
        <f>_xlfn.IFNA(VLOOKUP(Table3[[#This Row],[damId]],Sheet1!$A$2:$Y$970,23, FALSE), VLOOKUP(Table3[[#This Row],[dam]],Sheet1!$B$2:$Y$970,23, FALSE))*Sheet1!$AD$3</f>
        <v>43191.78</v>
      </c>
      <c r="Q172" s="3">
        <f>SUM(Table3[[#This Row],[earningsInRaces1]:[earningsInRaces12]])</f>
        <v>0</v>
      </c>
      <c r="R172" s="3">
        <f>SUM(Table3[[#This Row],[auctionPrice1]:[auctionPrice12]])</f>
        <v>360000</v>
      </c>
      <c r="S172" s="3">
        <f>SUM(Table3[[#This Row],[studFeeUSD1]:[studFeeUSD12]])</f>
        <v>-20000</v>
      </c>
      <c r="T172" s="7">
        <f>COUNT(Table3[[#This Row],[successfulService1]:[successfulService12]])</f>
        <v>2</v>
      </c>
      <c r="U172" s="7">
        <f>SUM(Table3[[#This Row],[successfulService1]:[successfulService12]])</f>
        <v>2</v>
      </c>
      <c r="V172" s="7">
        <f>SUM(Table3[[#This Row],[soldInAuction1]:[soldInAuction12]])</f>
        <v>2</v>
      </c>
      <c r="W172" s="7">
        <f>SUM(Table3[[#This Row],[foreignHorse1]:[foreignHorse12]])</f>
        <v>0</v>
      </c>
      <c r="X172" s="3">
        <v>200000</v>
      </c>
      <c r="Y172" s="3">
        <v>140000</v>
      </c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>
        <v>0</v>
      </c>
      <c r="AK172" s="3">
        <v>0</v>
      </c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>
        <v>200000</v>
      </c>
      <c r="AW172" s="3">
        <v>160000</v>
      </c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>
        <v>0</v>
      </c>
      <c r="BI172" s="3">
        <v>-20000</v>
      </c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1">
        <v>0</v>
      </c>
      <c r="BU172" s="1">
        <v>0</v>
      </c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>
        <v>1</v>
      </c>
      <c r="CG172" s="1">
        <v>1</v>
      </c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>
        <v>1</v>
      </c>
      <c r="CS172" s="1">
        <v>1</v>
      </c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>
        <v>0</v>
      </c>
      <c r="DE172" s="1">
        <v>0</v>
      </c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>
        <v>7</v>
      </c>
      <c r="DQ172" s="1">
        <v>8</v>
      </c>
      <c r="DR172" s="1"/>
      <c r="DS172" s="1"/>
      <c r="DT172" s="1"/>
      <c r="DU172" s="1"/>
      <c r="DV172" s="1"/>
      <c r="DW172" s="1"/>
      <c r="DX172" s="1"/>
      <c r="DY172" s="1"/>
      <c r="DZ172" s="1"/>
      <c r="EA172" s="1"/>
    </row>
    <row r="173" spans="1:131" x14ac:dyDescent="0.3">
      <c r="A173">
        <v>9260148</v>
      </c>
      <c r="B173" s="1" t="s">
        <v>459</v>
      </c>
      <c r="C173" s="1" t="s">
        <v>139</v>
      </c>
      <c r="D173" s="1">
        <v>2019</v>
      </c>
      <c r="E173" s="1">
        <v>1</v>
      </c>
      <c r="F173" s="10">
        <f>Table3[[#This Row],[First season 
with SF]]+Table3[[#This Row],['# Services 
provided]]</f>
        <v>6</v>
      </c>
      <c r="G173" s="26">
        <f>(Table3[[#This Row],[Total Income 
(Race + Price 
sold + Offs - maintenance cost)]]-Table3[[#This Row],[Price 
Bought]])/Table3[[#This Row],[Price 
Bought]]</f>
        <v>9.1854029333333322</v>
      </c>
      <c r="H173" s="31">
        <f>Table3[[#This Row],[Race 
earnings]]+Table3[[#This Row],[Price 
Sold]]-Table3[[#This Row],[Maintenance cost]]+Table3[[#This Row],[Total 
profit (Income - cost)]]</f>
        <v>763905.22</v>
      </c>
      <c r="I173" s="3">
        <f>_xlfn.IFNA(VLOOKUP(Table3[[#This Row],[damId]],Sheet1!$A$2:$M$970,5, FALSE), VLOOKUP(Table3[[#This Row],[dam]],Sheet1!$B$2:$M$970,4, FALSE))</f>
        <v>0</v>
      </c>
      <c r="J173" s="3">
        <f>_xlfn.IFNA(VLOOKUP(Table3[[#This Row],[damId]],Sheet1!$A$2:$M$970,13, FALSE), VLOOKUP(Table3[[#This Row],[dam]],Sheet1!$B$2:$M$970,13, FALSE))</f>
        <v>-75000</v>
      </c>
      <c r="K173" s="3">
        <f>_xlfn.IFNA(VLOOKUP(Table3[[#This Row],[damId]],Sheet1!$A$2:$M$970,11, FALSE), VLOOKUP(Table3[[#This Row],[dam]],Sheet1!$B$2:$M$970,11, FALSE))</f>
        <v>75000</v>
      </c>
      <c r="L173" s="3">
        <f>_xlfn.IFNA(VLOOKUP(Table3[[#This Row],[damId]],Sheet1!$A$2:$M$970,12, FALSE), VLOOKUP(Table3[[#This Row],[dam]],Sheet1!$B$2:$M$970,12, FALSE))</f>
        <v>0</v>
      </c>
      <c r="M173" s="3">
        <f>_xlfn.IFNA(VLOOKUP(Table3[[#This Row],[damId]],Sheet1!$A$2:$T$970,20, FALSE), VLOOKUP(Table3[[#This Row],[dam]],Sheet1!$B$2:$T$970,20, FALSE))*Sheet1!$AD$3</f>
        <v>109191.78</v>
      </c>
      <c r="N173" s="3">
        <f>Table3[[#This Row],[Total 
income (Earnings + value - stud fee)]]-Table3[[#This Row],[Maintenance cost ]]</f>
        <v>873097</v>
      </c>
      <c r="O173" s="3">
        <f>SUM(Table3[[#This Row],[income1]:[income12]])</f>
        <v>873097</v>
      </c>
      <c r="P173" s="3">
        <f>_xlfn.IFNA(VLOOKUP(Table3[[#This Row],[damId]],Sheet1!$A$2:$Y$970,23, FALSE), VLOOKUP(Table3[[#This Row],[dam]],Sheet1!$B$2:$Y$970,23, FALSE))*Sheet1!$AD$3</f>
        <v>0</v>
      </c>
      <c r="Q173" s="3">
        <f>SUM(Table3[[#This Row],[earningsInRaces1]:[earningsInRaces12]])</f>
        <v>0</v>
      </c>
      <c r="R173" s="3">
        <f>SUM(Table3[[#This Row],[auctionPrice1]:[auctionPrice12]])</f>
        <v>873097</v>
      </c>
      <c r="S173" s="3">
        <f>SUM(Table3[[#This Row],[studFeeUSD1]:[studFeeUSD12]])</f>
        <v>0</v>
      </c>
      <c r="T173" s="7">
        <f>COUNT(Table3[[#This Row],[successfulService1]:[successfulService12]])</f>
        <v>5</v>
      </c>
      <c r="U173" s="7">
        <f>SUM(Table3[[#This Row],[successfulService1]:[successfulService12]])</f>
        <v>3</v>
      </c>
      <c r="V173" s="7">
        <f>SUM(Table3[[#This Row],[soldInAuction1]:[soldInAuction12]])</f>
        <v>3</v>
      </c>
      <c r="W173" s="7">
        <f>SUM(Table3[[#This Row],[foreignHorse1]:[foreignHorse12]])</f>
        <v>2</v>
      </c>
      <c r="X173" s="3">
        <v>0</v>
      </c>
      <c r="Y173" s="3">
        <v>305928</v>
      </c>
      <c r="Z173" s="3">
        <v>396337</v>
      </c>
      <c r="AA173" s="3">
        <v>170832</v>
      </c>
      <c r="AB173" s="3">
        <v>0</v>
      </c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>
        <v>305928</v>
      </c>
      <c r="AX173" s="3">
        <v>396337</v>
      </c>
      <c r="AY173" s="3">
        <v>170832</v>
      </c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>
        <v>0</v>
      </c>
      <c r="CG173" s="1">
        <v>1</v>
      </c>
      <c r="CH173" s="1">
        <v>1</v>
      </c>
      <c r="CI173" s="1">
        <v>1</v>
      </c>
      <c r="CJ173" s="1">
        <v>0</v>
      </c>
      <c r="CK173" s="1"/>
      <c r="CL173" s="1"/>
      <c r="CM173" s="1"/>
      <c r="CN173" s="1"/>
      <c r="CO173" s="1"/>
      <c r="CP173" s="1"/>
      <c r="CQ173" s="1"/>
      <c r="CR173" s="1">
        <v>0</v>
      </c>
      <c r="CS173" s="1">
        <v>1</v>
      </c>
      <c r="CT173" s="1">
        <v>1</v>
      </c>
      <c r="CU173" s="1">
        <v>1</v>
      </c>
      <c r="CV173" s="1">
        <v>0</v>
      </c>
      <c r="CW173" s="1"/>
      <c r="CX173" s="1"/>
      <c r="CY173" s="1"/>
      <c r="CZ173" s="1"/>
      <c r="DA173" s="1"/>
      <c r="DB173" s="1"/>
      <c r="DC173" s="1"/>
      <c r="DD173" s="1">
        <v>0</v>
      </c>
      <c r="DE173" s="1">
        <v>1</v>
      </c>
      <c r="DF173" s="1">
        <v>1</v>
      </c>
      <c r="DG173" s="1">
        <v>0</v>
      </c>
      <c r="DH173" s="1">
        <v>0</v>
      </c>
      <c r="DI173" s="1"/>
      <c r="DJ173" s="1"/>
      <c r="DK173" s="1"/>
      <c r="DL173" s="1"/>
      <c r="DM173" s="1"/>
      <c r="DN173" s="1"/>
      <c r="DO173" s="1"/>
      <c r="DP173" s="1">
        <v>1</v>
      </c>
      <c r="DQ173" s="1">
        <v>2</v>
      </c>
      <c r="DR173" s="1">
        <v>3</v>
      </c>
      <c r="DS173" s="1">
        <v>4</v>
      </c>
      <c r="DT173" s="1">
        <v>5</v>
      </c>
      <c r="DU173" s="1"/>
      <c r="DV173" s="1"/>
      <c r="DW173" s="1"/>
      <c r="DX173" s="1"/>
      <c r="DY173" s="1"/>
      <c r="DZ173" s="1"/>
      <c r="EA173" s="1"/>
    </row>
    <row r="174" spans="1:131" x14ac:dyDescent="0.3">
      <c r="A174">
        <v>9314770</v>
      </c>
      <c r="B174" s="1" t="s">
        <v>495</v>
      </c>
      <c r="C174" s="1" t="s">
        <v>24</v>
      </c>
      <c r="D174" s="1">
        <v>2019</v>
      </c>
      <c r="E174" s="1">
        <v>1</v>
      </c>
      <c r="F174" s="10">
        <f>Table3[[#This Row],[First season 
with SF]]+Table3[[#This Row],['# Services 
provided]]</f>
        <v>3</v>
      </c>
      <c r="G174" s="26">
        <f>(Table3[[#This Row],[Total Income 
(Race + Price 
sold + Offs - maintenance cost)]]-Table3[[#This Row],[Price 
Bought]])/Table3[[#This Row],[Price 
Bought]]</f>
        <v>-0.70952054999999992</v>
      </c>
      <c r="H174" s="31">
        <f>Table3[[#This Row],[Race 
earnings]]+Table3[[#This Row],[Price 
Sold]]-Table3[[#This Row],[Maintenance cost]]+Table3[[#This Row],[Total 
profit (Income - cost)]]</f>
        <v>58095.89</v>
      </c>
      <c r="I174" s="3">
        <f>_xlfn.IFNA(VLOOKUP(Table3[[#This Row],[damId]],Sheet1!$A$2:$M$970,5, FALSE), VLOOKUP(Table3[[#This Row],[dam]],Sheet1!$B$2:$M$970,4, FALSE))</f>
        <v>0</v>
      </c>
      <c r="J174" s="3">
        <f>_xlfn.IFNA(VLOOKUP(Table3[[#This Row],[damId]],Sheet1!$A$2:$M$970,13, FALSE), VLOOKUP(Table3[[#This Row],[dam]],Sheet1!$B$2:$M$970,13, FALSE))</f>
        <v>-168000</v>
      </c>
      <c r="K174" s="3">
        <f>_xlfn.IFNA(VLOOKUP(Table3[[#This Row],[damId]],Sheet1!$A$2:$M$970,11, FALSE), VLOOKUP(Table3[[#This Row],[dam]],Sheet1!$B$2:$M$970,11, FALSE))</f>
        <v>200000</v>
      </c>
      <c r="L174" s="3">
        <f>_xlfn.IFNA(VLOOKUP(Table3[[#This Row],[damId]],Sheet1!$A$2:$M$970,12, FALSE), VLOOKUP(Table3[[#This Row],[dam]],Sheet1!$B$2:$M$970,12, FALSE))</f>
        <v>32000</v>
      </c>
      <c r="M174" s="3">
        <f>_xlfn.IFNA(VLOOKUP(Table3[[#This Row],[damId]],Sheet1!$A$2:$T$970,20, FALSE), VLOOKUP(Table3[[#This Row],[dam]],Sheet1!$B$2:$T$970,20, FALSE))*Sheet1!$AD$3</f>
        <v>18904.109999999997</v>
      </c>
      <c r="N174" s="3">
        <f>Table3[[#This Row],[Total 
income (Earnings + value - stud fee)]]-Table3[[#This Row],[Maintenance cost ]]</f>
        <v>45000</v>
      </c>
      <c r="O174" s="3">
        <f>SUM(Table3[[#This Row],[income1]:[income12]])</f>
        <v>45000</v>
      </c>
      <c r="P174" s="3">
        <f>_xlfn.IFNA(VLOOKUP(Table3[[#This Row],[damId]],Sheet1!$A$2:$Y$970,23, FALSE), VLOOKUP(Table3[[#This Row],[dam]],Sheet1!$B$2:$Y$970,23, FALSE))*Sheet1!$AD$3</f>
        <v>0</v>
      </c>
      <c r="Q174" s="3">
        <f>SUM(Table3[[#This Row],[earningsInRaces1]:[earningsInRaces12]])</f>
        <v>0</v>
      </c>
      <c r="R174" s="3">
        <f>SUM(Table3[[#This Row],[auctionPrice1]:[auctionPrice12]])</f>
        <v>75000</v>
      </c>
      <c r="S174" s="3">
        <f>SUM(Table3[[#This Row],[studFeeUSD1]:[studFeeUSD12]])</f>
        <v>-30000</v>
      </c>
      <c r="T174" s="7">
        <f>COUNT(Table3[[#This Row],[successfulService1]:[successfulService12]])</f>
        <v>2</v>
      </c>
      <c r="U174" s="7">
        <f>SUM(Table3[[#This Row],[successfulService1]:[successfulService12]])</f>
        <v>2</v>
      </c>
      <c r="V174" s="7">
        <f>SUM(Table3[[#This Row],[soldInAuction1]:[soldInAuction12]])</f>
        <v>1</v>
      </c>
      <c r="W174" s="7">
        <f>SUM(Table3[[#This Row],[foreignHorse1]:[foreignHorse12]])</f>
        <v>0</v>
      </c>
      <c r="X174" s="3">
        <v>75000</v>
      </c>
      <c r="Y174" s="3">
        <v>-30000</v>
      </c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>
        <v>75000</v>
      </c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>
        <v>0</v>
      </c>
      <c r="BI174" s="3">
        <v>-30000</v>
      </c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>
        <v>1</v>
      </c>
      <c r="CG174" s="1">
        <v>1</v>
      </c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>
        <v>1</v>
      </c>
      <c r="CS174" s="1">
        <v>0</v>
      </c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>
        <v>0</v>
      </c>
      <c r="DE174" s="1">
        <v>0</v>
      </c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>
        <v>1</v>
      </c>
      <c r="DQ174" s="1">
        <v>2</v>
      </c>
      <c r="DR174" s="1"/>
      <c r="DS174" s="1"/>
      <c r="DT174" s="1"/>
      <c r="DU174" s="1"/>
      <c r="DV174" s="1"/>
      <c r="DW174" s="1"/>
      <c r="DX174" s="1"/>
      <c r="DY174" s="1"/>
      <c r="DZ174" s="1"/>
      <c r="EA174" s="1"/>
    </row>
    <row r="175" spans="1:131" x14ac:dyDescent="0.3">
      <c r="A175">
        <v>9332440</v>
      </c>
      <c r="B175" s="1" t="s">
        <v>513</v>
      </c>
      <c r="C175" s="1" t="s">
        <v>139</v>
      </c>
      <c r="D175" s="1">
        <v>2019</v>
      </c>
      <c r="E175" s="1">
        <v>1</v>
      </c>
      <c r="F175" s="10">
        <f>Table3[[#This Row],[First season 
with SF]]+Table3[[#This Row],['# Services 
provided]]</f>
        <v>2</v>
      </c>
      <c r="G175" s="26">
        <f>(Table3[[#This Row],[Total Income 
(Race + Price 
sold + Offs - maintenance cost)]]-Table3[[#This Row],[Price 
Bought]])/Table3[[#This Row],[Price 
Bought]]</f>
        <v>1.0824496470588234</v>
      </c>
      <c r="H175" s="31">
        <f>Table3[[#This Row],[Race 
earnings]]+Table3[[#This Row],[Price 
Sold]]-Table3[[#This Row],[Maintenance cost]]+Table3[[#This Row],[Total 
profit (Income - cost)]]</f>
        <v>885041.1</v>
      </c>
      <c r="I175" s="3">
        <f>_xlfn.IFNA(VLOOKUP(Table3[[#This Row],[damId]],Sheet1!$A$2:$M$970,5, FALSE), VLOOKUP(Table3[[#This Row],[dam]],Sheet1!$B$2:$M$970,4, FALSE))</f>
        <v>0</v>
      </c>
      <c r="J175" s="3">
        <f>_xlfn.IFNA(VLOOKUP(Table3[[#This Row],[damId]],Sheet1!$A$2:$M$970,13, FALSE), VLOOKUP(Table3[[#This Row],[dam]],Sheet1!$B$2:$M$970,13, FALSE))</f>
        <v>225000</v>
      </c>
      <c r="K175" s="3">
        <f>_xlfn.IFNA(VLOOKUP(Table3[[#This Row],[damId]],Sheet1!$A$2:$M$970,11, FALSE), VLOOKUP(Table3[[#This Row],[dam]],Sheet1!$B$2:$M$970,11, FALSE))</f>
        <v>425000</v>
      </c>
      <c r="L175" s="3">
        <f>_xlfn.IFNA(VLOOKUP(Table3[[#This Row],[damId]],Sheet1!$A$2:$M$970,12, FALSE), VLOOKUP(Table3[[#This Row],[dam]],Sheet1!$B$2:$M$970,12, FALSE))</f>
        <v>650000</v>
      </c>
      <c r="M175" s="3">
        <f>_xlfn.IFNA(VLOOKUP(Table3[[#This Row],[damId]],Sheet1!$A$2:$T$970,20, FALSE), VLOOKUP(Table3[[#This Row],[dam]],Sheet1!$B$2:$T$970,20, FALSE))*Sheet1!$AD$3</f>
        <v>29958.9</v>
      </c>
      <c r="N175" s="3">
        <f>Table3[[#This Row],[Total 
income (Earnings + value - stud fee)]]-Table3[[#This Row],[Maintenance cost ]]</f>
        <v>265000</v>
      </c>
      <c r="O175" s="3">
        <f>SUM(Table3[[#This Row],[income1]:[income12]])</f>
        <v>265000</v>
      </c>
      <c r="P175" s="3">
        <f>_xlfn.IFNA(VLOOKUP(Table3[[#This Row],[damId]],Sheet1!$A$2:$Y$970,23, FALSE), VLOOKUP(Table3[[#This Row],[dam]],Sheet1!$B$2:$Y$970,23, FALSE))*Sheet1!$AD$3</f>
        <v>0</v>
      </c>
      <c r="Q175" s="3">
        <f>SUM(Table3[[#This Row],[earningsInRaces1]:[earningsInRaces12]])</f>
        <v>0</v>
      </c>
      <c r="R175" s="3">
        <f>SUM(Table3[[#This Row],[auctionPrice1]:[auctionPrice12]])</f>
        <v>290000</v>
      </c>
      <c r="S175" s="3">
        <f>SUM(Table3[[#This Row],[studFeeUSD1]:[studFeeUSD12]])</f>
        <v>-25000</v>
      </c>
      <c r="T175" s="7">
        <f>COUNT(Table3[[#This Row],[successfulService1]:[successfulService12]])</f>
        <v>1</v>
      </c>
      <c r="U175" s="7">
        <f>SUM(Table3[[#This Row],[successfulService1]:[successfulService12]])</f>
        <v>1</v>
      </c>
      <c r="V175" s="7">
        <f>SUM(Table3[[#This Row],[soldInAuction1]:[soldInAuction12]])</f>
        <v>1</v>
      </c>
      <c r="W175" s="7">
        <f>SUM(Table3[[#This Row],[foreignHorse1]:[foreignHorse12]])</f>
        <v>0</v>
      </c>
      <c r="X175" s="3">
        <v>265000</v>
      </c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>
        <v>290000</v>
      </c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>
        <v>-25000</v>
      </c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>
        <v>1</v>
      </c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>
        <v>1</v>
      </c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>
        <v>0</v>
      </c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>
        <v>1</v>
      </c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</row>
    <row r="176" spans="1:131" x14ac:dyDescent="0.3">
      <c r="A176">
        <v>9402791</v>
      </c>
      <c r="B176" s="1" t="s">
        <v>539</v>
      </c>
      <c r="C176" s="1" t="s">
        <v>139</v>
      </c>
      <c r="D176" s="1">
        <v>2019</v>
      </c>
      <c r="E176" s="1">
        <v>1</v>
      </c>
      <c r="F176" s="10">
        <f>Table3[[#This Row],[First season 
with SF]]+Table3[[#This Row],['# Services 
provided]]</f>
        <v>7</v>
      </c>
      <c r="G176" s="26">
        <f>(Table3[[#This Row],[Total Income 
(Race + Price 
sold + Offs - maintenance cost)]]-Table3[[#This Row],[Price 
Bought]])/Table3[[#This Row],[Price 
Bought]]</f>
        <v>0.97020903703703687</v>
      </c>
      <c r="H176" s="31">
        <f>Table3[[#This Row],[Race 
earnings]]+Table3[[#This Row],[Price 
Sold]]-Table3[[#This Row],[Maintenance cost]]+Table3[[#This Row],[Total 
profit (Income - cost)]]</f>
        <v>265978.21999999997</v>
      </c>
      <c r="I176" s="3">
        <f>_xlfn.IFNA(VLOOKUP(Table3[[#This Row],[damId]],Sheet1!$A$2:$M$970,5, FALSE), VLOOKUP(Table3[[#This Row],[dam]],Sheet1!$B$2:$M$970,4, FALSE))</f>
        <v>0</v>
      </c>
      <c r="J176" s="3">
        <f>_xlfn.IFNA(VLOOKUP(Table3[[#This Row],[damId]],Sheet1!$A$2:$M$970,13, FALSE), VLOOKUP(Table3[[#This Row],[dam]],Sheet1!$B$2:$M$970,13, FALSE))</f>
        <v>-135000</v>
      </c>
      <c r="K176" s="3">
        <f>_xlfn.IFNA(VLOOKUP(Table3[[#This Row],[damId]],Sheet1!$A$2:$M$970,11, FALSE), VLOOKUP(Table3[[#This Row],[dam]],Sheet1!$B$2:$M$970,11, FALSE))</f>
        <v>135000</v>
      </c>
      <c r="L176" s="3">
        <f>_xlfn.IFNA(VLOOKUP(Table3[[#This Row],[damId]],Sheet1!$A$2:$M$970,12, FALSE), VLOOKUP(Table3[[#This Row],[dam]],Sheet1!$B$2:$M$970,12, FALSE))</f>
        <v>0</v>
      </c>
      <c r="M176" s="3">
        <f>_xlfn.IFNA(VLOOKUP(Table3[[#This Row],[damId]],Sheet1!$A$2:$T$970,20, FALSE), VLOOKUP(Table3[[#This Row],[dam]],Sheet1!$B$2:$T$970,20, FALSE))*Sheet1!$AD$3</f>
        <v>109191.78</v>
      </c>
      <c r="N176" s="3">
        <f>Table3[[#This Row],[Total 
income (Earnings + value - stud fee)]]-Table3[[#This Row],[Maintenance cost ]]</f>
        <v>375170</v>
      </c>
      <c r="O176" s="3">
        <f>SUM(Table3[[#This Row],[income1]:[income12]])</f>
        <v>375170</v>
      </c>
      <c r="P176" s="3">
        <f>_xlfn.IFNA(VLOOKUP(Table3[[#This Row],[damId]],Sheet1!$A$2:$Y$970,23, FALSE), VLOOKUP(Table3[[#This Row],[dam]],Sheet1!$B$2:$Y$970,23, FALSE))*Sheet1!$AD$3</f>
        <v>0</v>
      </c>
      <c r="Q176" s="3">
        <f>SUM(Table3[[#This Row],[earningsInRaces1]:[earningsInRaces12]])</f>
        <v>0</v>
      </c>
      <c r="R176" s="3">
        <f>SUM(Table3[[#This Row],[auctionPrice1]:[auctionPrice12]])</f>
        <v>375170</v>
      </c>
      <c r="S176" s="3">
        <f>SUM(Table3[[#This Row],[studFeeUSD1]:[studFeeUSD12]])</f>
        <v>0</v>
      </c>
      <c r="T176" s="7">
        <f>COUNT(Table3[[#This Row],[successfulService1]:[successfulService12]])</f>
        <v>6</v>
      </c>
      <c r="U176" s="7">
        <f>SUM(Table3[[#This Row],[successfulService1]:[successfulService12]])</f>
        <v>4</v>
      </c>
      <c r="V176" s="7">
        <f>SUM(Table3[[#This Row],[soldInAuction1]:[soldInAuction12]])</f>
        <v>2</v>
      </c>
      <c r="W176" s="7">
        <f>SUM(Table3[[#This Row],[foreignHorse1]:[foreignHorse12]])</f>
        <v>3</v>
      </c>
      <c r="X176" s="3">
        <v>291437</v>
      </c>
      <c r="Y176" s="3">
        <v>83733</v>
      </c>
      <c r="Z176" s="3">
        <v>0</v>
      </c>
      <c r="AA176" s="3">
        <v>0</v>
      </c>
      <c r="AB176" s="3">
        <v>0</v>
      </c>
      <c r="AC176" s="3">
        <v>0</v>
      </c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>
        <v>291437</v>
      </c>
      <c r="AW176" s="3">
        <v>83733</v>
      </c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>
        <v>1</v>
      </c>
      <c r="CG176" s="1">
        <v>1</v>
      </c>
      <c r="CH176" s="1">
        <v>1</v>
      </c>
      <c r="CI176" s="1">
        <v>0</v>
      </c>
      <c r="CJ176" s="1">
        <v>1</v>
      </c>
      <c r="CK176" s="1">
        <v>0</v>
      </c>
      <c r="CL176" s="1"/>
      <c r="CM176" s="1"/>
      <c r="CN176" s="1"/>
      <c r="CO176" s="1"/>
      <c r="CP176" s="1"/>
      <c r="CQ176" s="1"/>
      <c r="CR176" s="1">
        <v>1</v>
      </c>
      <c r="CS176" s="1">
        <v>1</v>
      </c>
      <c r="CT176" s="1">
        <v>0</v>
      </c>
      <c r="CU176" s="1">
        <v>0</v>
      </c>
      <c r="CV176" s="1">
        <v>0</v>
      </c>
      <c r="CW176" s="1">
        <v>0</v>
      </c>
      <c r="CX176" s="1"/>
      <c r="CY176" s="1"/>
      <c r="CZ176" s="1"/>
      <c r="DA176" s="1"/>
      <c r="DB176" s="1"/>
      <c r="DC176" s="1"/>
      <c r="DD176" s="1">
        <v>1</v>
      </c>
      <c r="DE176" s="1">
        <v>1</v>
      </c>
      <c r="DF176" s="1">
        <v>1</v>
      </c>
      <c r="DG176" s="1">
        <v>0</v>
      </c>
      <c r="DH176" s="1">
        <v>0</v>
      </c>
      <c r="DI176" s="1">
        <v>0</v>
      </c>
      <c r="DJ176" s="1"/>
      <c r="DK176" s="1"/>
      <c r="DL176" s="1"/>
      <c r="DM176" s="1"/>
      <c r="DN176" s="1"/>
      <c r="DO176" s="1"/>
      <c r="DP176" s="1">
        <v>1</v>
      </c>
      <c r="DQ176" s="1">
        <v>2</v>
      </c>
      <c r="DR176" s="1">
        <v>3</v>
      </c>
      <c r="DS176" s="1">
        <v>4</v>
      </c>
      <c r="DT176" s="1">
        <v>5</v>
      </c>
      <c r="DU176" s="1">
        <v>6</v>
      </c>
      <c r="DV176" s="1"/>
      <c r="DW176" s="1"/>
      <c r="DX176" s="1"/>
      <c r="DY176" s="1"/>
      <c r="DZ176" s="1"/>
      <c r="EA176" s="1"/>
    </row>
    <row r="177" spans="1:131" x14ac:dyDescent="0.3">
      <c r="A177">
        <v>9504722</v>
      </c>
      <c r="B177" s="1" t="s">
        <v>581</v>
      </c>
      <c r="C177" s="1" t="s">
        <v>24</v>
      </c>
      <c r="D177" s="1">
        <v>2019</v>
      </c>
      <c r="E177" s="1">
        <v>2</v>
      </c>
      <c r="F177" s="10">
        <f>Table3[[#This Row],[First season 
with SF]]+Table3[[#This Row],['# Services 
provided]]</f>
        <v>7</v>
      </c>
      <c r="G177" s="26">
        <f>(Table3[[#This Row],[Total Income 
(Race + Price 
sold + Offs - maintenance cost)]]-Table3[[#This Row],[Price 
Bought]])/Table3[[#This Row],[Price 
Bought]]</f>
        <v>4.3241055666666668</v>
      </c>
      <c r="H177" s="31">
        <f>Table3[[#This Row],[Race 
earnings]]+Table3[[#This Row],[Price 
Sold]]-Table3[[#This Row],[Maintenance cost]]+Table3[[#This Row],[Total 
profit (Income - cost)]]</f>
        <v>798615.83499999996</v>
      </c>
      <c r="I177" s="3">
        <f>_xlfn.IFNA(VLOOKUP(Table3[[#This Row],[damId]],Sheet1!$A$2:$M$970,5, FALSE), VLOOKUP(Table3[[#This Row],[dam]],Sheet1!$B$2:$M$970,4, FALSE))</f>
        <v>0</v>
      </c>
      <c r="J177" s="3">
        <f>_xlfn.IFNA(VLOOKUP(Table3[[#This Row],[damId]],Sheet1!$A$2:$M$970,13, FALSE), VLOOKUP(Table3[[#This Row],[dam]],Sheet1!$B$2:$M$970,13, FALSE))</f>
        <v>-150000</v>
      </c>
      <c r="K177" s="3">
        <f>_xlfn.IFNA(VLOOKUP(Table3[[#This Row],[damId]],Sheet1!$A$2:$M$970,11, FALSE), VLOOKUP(Table3[[#This Row],[dam]],Sheet1!$B$2:$M$970,11, FALSE))</f>
        <v>150000</v>
      </c>
      <c r="L177" s="3">
        <f>_xlfn.IFNA(VLOOKUP(Table3[[#This Row],[damId]],Sheet1!$A$2:$M$970,12, FALSE), VLOOKUP(Table3[[#This Row],[dam]],Sheet1!$B$2:$M$970,12, FALSE))</f>
        <v>0</v>
      </c>
      <c r="M177" s="3">
        <f>_xlfn.IFNA(VLOOKUP(Table3[[#This Row],[damId]],Sheet1!$A$2:$T$970,20, FALSE), VLOOKUP(Table3[[#This Row],[dam]],Sheet1!$B$2:$T$970,20, FALSE))*Sheet1!$AD$3</f>
        <v>94356.164999999994</v>
      </c>
      <c r="N177" s="3">
        <f>Table3[[#This Row],[Total 
income (Earnings + value - stud fee)]]-Table3[[#This Row],[Maintenance cost ]]</f>
        <v>892972</v>
      </c>
      <c r="O177" s="3">
        <f>SUM(Table3[[#This Row],[income1]:[income12]])</f>
        <v>892972</v>
      </c>
      <c r="P177" s="3">
        <f>_xlfn.IFNA(VLOOKUP(Table3[[#This Row],[damId]],Sheet1!$A$2:$Y$970,23, FALSE), VLOOKUP(Table3[[#This Row],[dam]],Sheet1!$B$2:$Y$970,23, FALSE))*Sheet1!$AD$3</f>
        <v>0</v>
      </c>
      <c r="Q177" s="3">
        <f>SUM(Table3[[#This Row],[earningsInRaces1]:[earningsInRaces12]])</f>
        <v>0</v>
      </c>
      <c r="R177" s="3">
        <f>SUM(Table3[[#This Row],[auctionPrice1]:[auctionPrice12]])</f>
        <v>892972</v>
      </c>
      <c r="S177" s="3">
        <f>SUM(Table3[[#This Row],[studFeeUSD1]:[studFeeUSD12]])</f>
        <v>0</v>
      </c>
      <c r="T177" s="7">
        <f>COUNT(Table3[[#This Row],[successfulService1]:[successfulService12]])</f>
        <v>5</v>
      </c>
      <c r="U177" s="7">
        <f>SUM(Table3[[#This Row],[successfulService1]:[successfulService12]])</f>
        <v>4</v>
      </c>
      <c r="V177" s="7">
        <f>SUM(Table3[[#This Row],[soldInAuction1]:[soldInAuction12]])</f>
        <v>2</v>
      </c>
      <c r="W177" s="7">
        <f>SUM(Table3[[#This Row],[foreignHorse1]:[foreignHorse12]])</f>
        <v>1</v>
      </c>
      <c r="X177" s="3">
        <v>0</v>
      </c>
      <c r="Y177" s="3">
        <v>0</v>
      </c>
      <c r="Z177" s="3">
        <v>104518</v>
      </c>
      <c r="AA177" s="3">
        <v>788454</v>
      </c>
      <c r="AB177" s="3">
        <v>0</v>
      </c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>
        <v>104518</v>
      </c>
      <c r="AY177" s="3">
        <v>788454</v>
      </c>
      <c r="AZ177" s="3"/>
      <c r="BA177" s="3"/>
      <c r="BB177" s="3"/>
      <c r="BC177" s="3"/>
      <c r="BD177" s="3"/>
      <c r="BE177" s="3"/>
      <c r="BF177" s="3"/>
      <c r="BG177" s="3"/>
      <c r="BH177" s="3">
        <v>0</v>
      </c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>
        <v>0</v>
      </c>
      <c r="CG177" s="1">
        <v>1</v>
      </c>
      <c r="CH177" s="1">
        <v>1</v>
      </c>
      <c r="CI177" s="1">
        <v>1</v>
      </c>
      <c r="CJ177" s="1">
        <v>1</v>
      </c>
      <c r="CK177" s="1"/>
      <c r="CL177" s="1"/>
      <c r="CM177" s="1"/>
      <c r="CN177" s="1"/>
      <c r="CO177" s="1"/>
      <c r="CP177" s="1"/>
      <c r="CQ177" s="1"/>
      <c r="CR177" s="1">
        <v>0</v>
      </c>
      <c r="CS177" s="1">
        <v>0</v>
      </c>
      <c r="CT177" s="1">
        <v>1</v>
      </c>
      <c r="CU177" s="1">
        <v>1</v>
      </c>
      <c r="CV177" s="1">
        <v>0</v>
      </c>
      <c r="CW177" s="1"/>
      <c r="CX177" s="1"/>
      <c r="CY177" s="1"/>
      <c r="CZ177" s="1"/>
      <c r="DA177" s="1"/>
      <c r="DB177" s="1"/>
      <c r="DC177" s="1"/>
      <c r="DD177" s="1">
        <v>0</v>
      </c>
      <c r="DE177" s="1">
        <v>0</v>
      </c>
      <c r="DF177" s="1">
        <v>1</v>
      </c>
      <c r="DG177" s="1">
        <v>0</v>
      </c>
      <c r="DH177" s="1">
        <v>0</v>
      </c>
      <c r="DI177" s="1"/>
      <c r="DJ177" s="1"/>
      <c r="DK177" s="1"/>
      <c r="DL177" s="1"/>
      <c r="DM177" s="1"/>
      <c r="DN177" s="1"/>
      <c r="DO177" s="1"/>
      <c r="DP177" s="1">
        <v>2</v>
      </c>
      <c r="DQ177" s="1">
        <v>3</v>
      </c>
      <c r="DR177" s="1">
        <v>4</v>
      </c>
      <c r="DS177" s="1">
        <v>5</v>
      </c>
      <c r="DT177" s="1">
        <v>6</v>
      </c>
      <c r="DU177" s="1"/>
      <c r="DV177" s="1"/>
      <c r="DW177" s="1"/>
      <c r="DX177" s="1"/>
      <c r="DY177" s="1"/>
      <c r="DZ177" s="1"/>
      <c r="EA177" s="1"/>
    </row>
    <row r="178" spans="1:131" x14ac:dyDescent="0.3">
      <c r="A178">
        <v>9509660</v>
      </c>
      <c r="B178" s="1" t="s">
        <v>593</v>
      </c>
      <c r="C178" s="1" t="s">
        <v>24</v>
      </c>
      <c r="D178" s="1">
        <v>2019</v>
      </c>
      <c r="E178" s="1">
        <v>1</v>
      </c>
      <c r="F178" s="10">
        <f>Table3[[#This Row],[First season 
with SF]]+Table3[[#This Row],['# Services 
provided]]</f>
        <v>2</v>
      </c>
      <c r="G178" s="26">
        <f>(Table3[[#This Row],[Total Income 
(Race + Price 
sold + Offs - maintenance cost)]]-Table3[[#This Row],[Price 
Bought]])/Table3[[#This Row],[Price 
Bought]]</f>
        <v>0.16887154022988504</v>
      </c>
      <c r="H178" s="31">
        <f>Table3[[#This Row],[Race 
earnings]]+Table3[[#This Row],[Price 
Sold]]-Table3[[#This Row],[Maintenance cost]]+Table3[[#This Row],[Total 
profit (Income - cost)]]</f>
        <v>508459.12</v>
      </c>
      <c r="I178" s="3">
        <f>_xlfn.IFNA(VLOOKUP(Table3[[#This Row],[damId]],Sheet1!$A$2:$M$970,5, FALSE), VLOOKUP(Table3[[#This Row],[dam]],Sheet1!$B$2:$M$970,4, FALSE))</f>
        <v>0</v>
      </c>
      <c r="J178" s="3">
        <f>_xlfn.IFNA(VLOOKUP(Table3[[#This Row],[damId]],Sheet1!$A$2:$M$970,13, FALSE), VLOOKUP(Table3[[#This Row],[dam]],Sheet1!$B$2:$M$970,13, FALSE))</f>
        <v>-61308</v>
      </c>
      <c r="K178" s="3">
        <f>_xlfn.IFNA(VLOOKUP(Table3[[#This Row],[damId]],Sheet1!$A$2:$M$970,11, FALSE), VLOOKUP(Table3[[#This Row],[dam]],Sheet1!$B$2:$M$970,11, FALSE))</f>
        <v>435000</v>
      </c>
      <c r="L178" s="3">
        <f>_xlfn.IFNA(VLOOKUP(Table3[[#This Row],[damId]],Sheet1!$A$2:$M$970,12, FALSE), VLOOKUP(Table3[[#This Row],[dam]],Sheet1!$B$2:$M$970,12, FALSE))</f>
        <v>373692</v>
      </c>
      <c r="M178" s="3">
        <f>_xlfn.IFNA(VLOOKUP(Table3[[#This Row],[damId]],Sheet1!$A$2:$T$970,20, FALSE), VLOOKUP(Table3[[#This Row],[dam]],Sheet1!$B$2:$T$970,20, FALSE))*Sheet1!$AD$3</f>
        <v>16191.78</v>
      </c>
      <c r="N178" s="3">
        <f>Table3[[#This Row],[Total 
income (Earnings + value - stud fee)]]-Table3[[#This Row],[Maintenance cost ]]</f>
        <v>150958.9</v>
      </c>
      <c r="O178" s="3">
        <f>SUM(Table3[[#This Row],[income1]:[income12]])</f>
        <v>175000</v>
      </c>
      <c r="P178" s="3">
        <f>_xlfn.IFNA(VLOOKUP(Table3[[#This Row],[damId]],Sheet1!$A$2:$Y$970,23, FALSE), VLOOKUP(Table3[[#This Row],[dam]],Sheet1!$B$2:$Y$970,23, FALSE))*Sheet1!$AD$3</f>
        <v>24041.100000000002</v>
      </c>
      <c r="Q178" s="3">
        <f>SUM(Table3[[#This Row],[earningsInRaces1]:[earningsInRaces12]])</f>
        <v>0</v>
      </c>
      <c r="R178" s="3">
        <f>SUM(Table3[[#This Row],[auctionPrice1]:[auctionPrice12]])</f>
        <v>175000</v>
      </c>
      <c r="S178" s="3">
        <f>SUM(Table3[[#This Row],[studFeeUSD1]:[studFeeUSD12]])</f>
        <v>0</v>
      </c>
      <c r="T178" s="7">
        <f>COUNT(Table3[[#This Row],[successfulService1]:[successfulService12]])</f>
        <v>1</v>
      </c>
      <c r="U178" s="7">
        <f>SUM(Table3[[#This Row],[successfulService1]:[successfulService12]])</f>
        <v>1</v>
      </c>
      <c r="V178" s="7">
        <f>SUM(Table3[[#This Row],[soldInAuction1]:[soldInAuction12]])</f>
        <v>1</v>
      </c>
      <c r="W178" s="7">
        <f>SUM(Table3[[#This Row],[foreignHorse1]:[foreignHorse12]])</f>
        <v>1</v>
      </c>
      <c r="X178" s="3">
        <v>175000</v>
      </c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>
        <v>0</v>
      </c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>
        <v>175000</v>
      </c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>
        <v>0</v>
      </c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1">
        <v>0</v>
      </c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>
        <v>1</v>
      </c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>
        <v>1</v>
      </c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>
        <v>1</v>
      </c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>
        <v>1</v>
      </c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</row>
    <row r="179" spans="1:131" x14ac:dyDescent="0.3">
      <c r="A179">
        <v>9514459</v>
      </c>
      <c r="B179" s="1" t="s">
        <v>599</v>
      </c>
      <c r="C179" s="1" t="s">
        <v>139</v>
      </c>
      <c r="D179" s="1">
        <v>2019</v>
      </c>
      <c r="E179" s="1">
        <v>1</v>
      </c>
      <c r="F179" s="10">
        <f>Table3[[#This Row],[First season 
with SF]]+Table3[[#This Row],['# Services 
provided]]</f>
        <v>6</v>
      </c>
      <c r="G179" s="26">
        <f>(Table3[[#This Row],[Total Income 
(Race + Price 
sold + Offs - maintenance cost)]]-Table3[[#This Row],[Price 
Bought]])/Table3[[#This Row],[Price 
Bought]]</f>
        <v>2.9233677368421054</v>
      </c>
      <c r="H179" s="31">
        <f>Table3[[#This Row],[Race 
earnings]]+Table3[[#This Row],[Price 
Sold]]-Table3[[#This Row],[Maintenance cost]]+Table3[[#This Row],[Total 
profit (Income - cost)]]</f>
        <v>372719.935</v>
      </c>
      <c r="I179" s="3">
        <f>_xlfn.IFNA(VLOOKUP(Table3[[#This Row],[damId]],Sheet1!$A$2:$M$970,5, FALSE), VLOOKUP(Table3[[#This Row],[dam]],Sheet1!$B$2:$M$970,4, FALSE))</f>
        <v>0</v>
      </c>
      <c r="J179" s="3">
        <f>_xlfn.IFNA(VLOOKUP(Table3[[#This Row],[damId]],Sheet1!$A$2:$M$970,13, FALSE), VLOOKUP(Table3[[#This Row],[dam]],Sheet1!$B$2:$M$970,13, FALSE))</f>
        <v>-95000</v>
      </c>
      <c r="K179" s="3">
        <f>_xlfn.IFNA(VLOOKUP(Table3[[#This Row],[damId]],Sheet1!$A$2:$M$970,11, FALSE), VLOOKUP(Table3[[#This Row],[dam]],Sheet1!$B$2:$M$970,11, FALSE))</f>
        <v>95000</v>
      </c>
      <c r="L179" s="3">
        <f>_xlfn.IFNA(VLOOKUP(Table3[[#This Row],[damId]],Sheet1!$A$2:$M$970,12, FALSE), VLOOKUP(Table3[[#This Row],[dam]],Sheet1!$B$2:$M$970,12, FALSE))</f>
        <v>0</v>
      </c>
      <c r="M179" s="3">
        <f>_xlfn.IFNA(VLOOKUP(Table3[[#This Row],[damId]],Sheet1!$A$2:$T$970,20, FALSE), VLOOKUP(Table3[[#This Row],[dam]],Sheet1!$B$2:$T$970,20, FALSE))*Sheet1!$AD$3</f>
        <v>109315.06499999999</v>
      </c>
      <c r="N179" s="3">
        <f>Table3[[#This Row],[Total 
income (Earnings + value - stud fee)]]-Table3[[#This Row],[Maintenance cost ]]</f>
        <v>482035</v>
      </c>
      <c r="O179" s="3">
        <f>SUM(Table3[[#This Row],[income1]:[income12]])</f>
        <v>482035</v>
      </c>
      <c r="P179" s="3">
        <f>_xlfn.IFNA(VLOOKUP(Table3[[#This Row],[damId]],Sheet1!$A$2:$Y$970,23, FALSE), VLOOKUP(Table3[[#This Row],[dam]],Sheet1!$B$2:$Y$970,23, FALSE))*Sheet1!$AD$3</f>
        <v>0</v>
      </c>
      <c r="Q179" s="3">
        <f>SUM(Table3[[#This Row],[earningsInRaces1]:[earningsInRaces12]])</f>
        <v>0</v>
      </c>
      <c r="R179" s="3">
        <f>SUM(Table3[[#This Row],[auctionPrice1]:[auctionPrice12]])</f>
        <v>482035</v>
      </c>
      <c r="S179" s="3">
        <f>SUM(Table3[[#This Row],[studFeeUSD1]:[studFeeUSD12]])</f>
        <v>0</v>
      </c>
      <c r="T179" s="7">
        <f>COUNT(Table3[[#This Row],[successfulService1]:[successfulService12]])</f>
        <v>5</v>
      </c>
      <c r="U179" s="7">
        <f>SUM(Table3[[#This Row],[successfulService1]:[successfulService12]])</f>
        <v>5</v>
      </c>
      <c r="V179" s="7">
        <f>SUM(Table3[[#This Row],[soldInAuction1]:[soldInAuction12]])</f>
        <v>4</v>
      </c>
      <c r="W179" s="7">
        <f>SUM(Table3[[#This Row],[foreignHorse1]:[foreignHorse12]])</f>
        <v>3</v>
      </c>
      <c r="X179" s="3">
        <v>61396</v>
      </c>
      <c r="Y179" s="3">
        <v>169719</v>
      </c>
      <c r="Z179" s="3">
        <v>0</v>
      </c>
      <c r="AA179" s="3">
        <v>58776</v>
      </c>
      <c r="AB179" s="3">
        <v>192144</v>
      </c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>
        <v>61396</v>
      </c>
      <c r="AW179" s="3">
        <v>169719</v>
      </c>
      <c r="AX179" s="3"/>
      <c r="AY179" s="3">
        <v>58776</v>
      </c>
      <c r="AZ179" s="3">
        <v>192144</v>
      </c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>
        <v>1</v>
      </c>
      <c r="CG179" s="1">
        <v>1</v>
      </c>
      <c r="CH179" s="1">
        <v>1</v>
      </c>
      <c r="CI179" s="1">
        <v>1</v>
      </c>
      <c r="CJ179" s="1">
        <v>1</v>
      </c>
      <c r="CK179" s="1"/>
      <c r="CL179" s="1"/>
      <c r="CM179" s="1"/>
      <c r="CN179" s="1"/>
      <c r="CO179" s="1"/>
      <c r="CP179" s="1"/>
      <c r="CQ179" s="1"/>
      <c r="CR179" s="1">
        <v>1</v>
      </c>
      <c r="CS179" s="1">
        <v>1</v>
      </c>
      <c r="CT179" s="1">
        <v>0</v>
      </c>
      <c r="CU179" s="1">
        <v>1</v>
      </c>
      <c r="CV179" s="1">
        <v>1</v>
      </c>
      <c r="CW179" s="1"/>
      <c r="CX179" s="1"/>
      <c r="CY179" s="1"/>
      <c r="CZ179" s="1"/>
      <c r="DA179" s="1"/>
      <c r="DB179" s="1"/>
      <c r="DC179" s="1"/>
      <c r="DD179" s="1">
        <v>1</v>
      </c>
      <c r="DE179" s="1">
        <v>1</v>
      </c>
      <c r="DF179" s="1">
        <v>1</v>
      </c>
      <c r="DG179" s="1">
        <v>0</v>
      </c>
      <c r="DH179" s="1">
        <v>0</v>
      </c>
      <c r="DI179" s="1"/>
      <c r="DJ179" s="1"/>
      <c r="DK179" s="1"/>
      <c r="DL179" s="1"/>
      <c r="DM179" s="1"/>
      <c r="DN179" s="1"/>
      <c r="DO179" s="1"/>
      <c r="DP179" s="1">
        <v>1</v>
      </c>
      <c r="DQ179" s="1">
        <v>2</v>
      </c>
      <c r="DR179" s="1">
        <v>3</v>
      </c>
      <c r="DS179" s="1">
        <v>4</v>
      </c>
      <c r="DT179" s="1">
        <v>5</v>
      </c>
      <c r="DU179" s="1"/>
      <c r="DV179" s="1"/>
      <c r="DW179" s="1"/>
      <c r="DX179" s="1"/>
      <c r="DY179" s="1"/>
      <c r="DZ179" s="1"/>
      <c r="EA179" s="1"/>
    </row>
    <row r="180" spans="1:131" x14ac:dyDescent="0.3">
      <c r="A180">
        <v>9658180</v>
      </c>
      <c r="B180" s="1" t="s">
        <v>624</v>
      </c>
      <c r="C180" s="1" t="s">
        <v>139</v>
      </c>
      <c r="D180" s="1">
        <v>2019</v>
      </c>
      <c r="E180" s="1">
        <v>1</v>
      </c>
      <c r="F180" s="10">
        <f>Table3[[#This Row],[First season 
with SF]]+Table3[[#This Row],['# Services 
provided]]</f>
        <v>6</v>
      </c>
      <c r="G180" s="26">
        <f>(Table3[[#This Row],[Total Income 
(Race + Price 
sold + Offs - maintenance cost)]]-Table3[[#This Row],[Price 
Bought]])/Table3[[#This Row],[Price 
Bought]]</f>
        <v>1.6537821999999998</v>
      </c>
      <c r="H180" s="31">
        <f>Table3[[#This Row],[Race 
earnings]]+Table3[[#This Row],[Price 
Sold]]-Table3[[#This Row],[Maintenance cost]]+Table3[[#This Row],[Total 
profit (Income - cost)]]</f>
        <v>265378.21999999997</v>
      </c>
      <c r="I180" s="3">
        <f>_xlfn.IFNA(VLOOKUP(Table3[[#This Row],[damId]],Sheet1!$A$2:$M$970,5, FALSE), VLOOKUP(Table3[[#This Row],[dam]],Sheet1!$B$2:$M$970,4, FALSE))</f>
        <v>0</v>
      </c>
      <c r="J180" s="3">
        <f>_xlfn.IFNA(VLOOKUP(Table3[[#This Row],[damId]],Sheet1!$A$2:$M$970,13, FALSE), VLOOKUP(Table3[[#This Row],[dam]],Sheet1!$B$2:$M$970,13, FALSE))</f>
        <v>-100000</v>
      </c>
      <c r="K180" s="3">
        <f>_xlfn.IFNA(VLOOKUP(Table3[[#This Row],[damId]],Sheet1!$A$2:$M$970,11, FALSE), VLOOKUP(Table3[[#This Row],[dam]],Sheet1!$B$2:$M$970,11, FALSE))</f>
        <v>100000</v>
      </c>
      <c r="L180" s="3">
        <f>_xlfn.IFNA(VLOOKUP(Table3[[#This Row],[damId]],Sheet1!$A$2:$M$970,12, FALSE), VLOOKUP(Table3[[#This Row],[dam]],Sheet1!$B$2:$M$970,12, FALSE))</f>
        <v>0</v>
      </c>
      <c r="M180" s="3">
        <f>_xlfn.IFNA(VLOOKUP(Table3[[#This Row],[damId]],Sheet1!$A$2:$T$970,20, FALSE), VLOOKUP(Table3[[#This Row],[dam]],Sheet1!$B$2:$T$970,20, FALSE))*Sheet1!$AD$3</f>
        <v>109191.78</v>
      </c>
      <c r="N180" s="3">
        <f>Table3[[#This Row],[Total 
income (Earnings + value - stud fee)]]-Table3[[#This Row],[Maintenance cost ]]</f>
        <v>374570</v>
      </c>
      <c r="O180" s="3">
        <f>SUM(Table3[[#This Row],[income1]:[income12]])</f>
        <v>374570</v>
      </c>
      <c r="P180" s="3">
        <f>_xlfn.IFNA(VLOOKUP(Table3[[#This Row],[damId]],Sheet1!$A$2:$Y$970,23, FALSE), VLOOKUP(Table3[[#This Row],[dam]],Sheet1!$B$2:$Y$970,23, FALSE))*Sheet1!$AD$3</f>
        <v>0</v>
      </c>
      <c r="Q180" s="3">
        <f>SUM(Table3[[#This Row],[earningsInRaces1]:[earningsInRaces12]])</f>
        <v>0</v>
      </c>
      <c r="R180" s="3">
        <f>SUM(Table3[[#This Row],[auctionPrice1]:[auctionPrice12]])</f>
        <v>374570</v>
      </c>
      <c r="S180" s="3">
        <f>SUM(Table3[[#This Row],[studFeeUSD1]:[studFeeUSD12]])</f>
        <v>0</v>
      </c>
      <c r="T180" s="7">
        <f>COUNT(Table3[[#This Row],[successfulService1]:[successfulService12]])</f>
        <v>5</v>
      </c>
      <c r="U180" s="7">
        <f>SUM(Table3[[#This Row],[successfulService1]:[successfulService12]])</f>
        <v>4</v>
      </c>
      <c r="V180" s="7">
        <f>SUM(Table3[[#This Row],[soldInAuction1]:[soldInAuction12]])</f>
        <v>3</v>
      </c>
      <c r="W180" s="7">
        <f>SUM(Table3[[#This Row],[foreignHorse1]:[foreignHorse12]])</f>
        <v>3</v>
      </c>
      <c r="X180" s="3">
        <v>154684</v>
      </c>
      <c r="Y180" s="3">
        <v>150662</v>
      </c>
      <c r="Z180" s="3">
        <v>69224</v>
      </c>
      <c r="AA180" s="3">
        <v>0</v>
      </c>
      <c r="AB180" s="3">
        <v>0</v>
      </c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>
        <v>154684</v>
      </c>
      <c r="AW180" s="3">
        <v>150662</v>
      </c>
      <c r="AX180" s="3">
        <v>69224</v>
      </c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>
        <v>1</v>
      </c>
      <c r="CG180" s="1">
        <v>1</v>
      </c>
      <c r="CH180" s="1">
        <v>1</v>
      </c>
      <c r="CI180" s="1">
        <v>0</v>
      </c>
      <c r="CJ180" s="1">
        <v>1</v>
      </c>
      <c r="CK180" s="1"/>
      <c r="CL180" s="1"/>
      <c r="CM180" s="1"/>
      <c r="CN180" s="1"/>
      <c r="CO180" s="1"/>
      <c r="CP180" s="1"/>
      <c r="CQ180" s="1"/>
      <c r="CR180" s="1">
        <v>1</v>
      </c>
      <c r="CS180" s="1">
        <v>1</v>
      </c>
      <c r="CT180" s="1">
        <v>1</v>
      </c>
      <c r="CU180" s="1">
        <v>0</v>
      </c>
      <c r="CV180" s="1">
        <v>0</v>
      </c>
      <c r="CW180" s="1"/>
      <c r="CX180" s="1"/>
      <c r="CY180" s="1"/>
      <c r="CZ180" s="1"/>
      <c r="DA180" s="1"/>
      <c r="DB180" s="1"/>
      <c r="DC180" s="1"/>
      <c r="DD180" s="1">
        <v>1</v>
      </c>
      <c r="DE180" s="1">
        <v>1</v>
      </c>
      <c r="DF180" s="1">
        <v>1</v>
      </c>
      <c r="DG180" s="1">
        <v>0</v>
      </c>
      <c r="DH180" s="1">
        <v>0</v>
      </c>
      <c r="DI180" s="1"/>
      <c r="DJ180" s="1"/>
      <c r="DK180" s="1"/>
      <c r="DL180" s="1"/>
      <c r="DM180" s="1"/>
      <c r="DN180" s="1"/>
      <c r="DO180" s="1"/>
      <c r="DP180" s="1">
        <v>1</v>
      </c>
      <c r="DQ180" s="1">
        <v>2</v>
      </c>
      <c r="DR180" s="1">
        <v>3</v>
      </c>
      <c r="DS180" s="1">
        <v>4</v>
      </c>
      <c r="DT180" s="1">
        <v>5</v>
      </c>
      <c r="DU180" s="1"/>
      <c r="DV180" s="1"/>
      <c r="DW180" s="1"/>
      <c r="DX180" s="1"/>
      <c r="DY180" s="1"/>
      <c r="DZ180" s="1"/>
      <c r="EA180" s="1"/>
    </row>
    <row r="181" spans="1:131" x14ac:dyDescent="0.3">
      <c r="A181">
        <v>9686269</v>
      </c>
      <c r="B181" s="1" t="s">
        <v>650</v>
      </c>
      <c r="C181" s="1" t="s">
        <v>24</v>
      </c>
      <c r="D181" s="1">
        <v>2019</v>
      </c>
      <c r="E181" s="1">
        <v>1</v>
      </c>
      <c r="F181" s="10">
        <f>Table3[[#This Row],[First season 
with SF]]+Table3[[#This Row],['# Services 
provided]]</f>
        <v>3</v>
      </c>
      <c r="G181" s="26">
        <f>(Table3[[#This Row],[Total Income 
(Race + Price 
sold + Offs - maintenance cost)]]-Table3[[#This Row],[Price 
Bought]])/Table3[[#This Row],[Price 
Bought]]</f>
        <v>2.4815240769230771</v>
      </c>
      <c r="H181" s="31">
        <f>Table3[[#This Row],[Race 
earnings]]+Table3[[#This Row],[Price 
Sold]]-Table3[[#This Row],[Maintenance cost]]+Table3[[#This Row],[Total 
profit (Income - cost)]]</f>
        <v>226299.065</v>
      </c>
      <c r="I181" s="3">
        <f>_xlfn.IFNA(VLOOKUP(Table3[[#This Row],[damId]],Sheet1!$A$2:$M$970,5, FALSE), VLOOKUP(Table3[[#This Row],[dam]],Sheet1!$B$2:$M$970,4, FALSE))</f>
        <v>0</v>
      </c>
      <c r="J181" s="3">
        <f>_xlfn.IFNA(VLOOKUP(Table3[[#This Row],[damId]],Sheet1!$A$2:$M$970,13, FALSE), VLOOKUP(Table3[[#This Row],[dam]],Sheet1!$B$2:$M$970,13, FALSE))</f>
        <v>113639</v>
      </c>
      <c r="K181" s="3">
        <f>_xlfn.IFNA(VLOOKUP(Table3[[#This Row],[damId]],Sheet1!$A$2:$M$970,11, FALSE), VLOOKUP(Table3[[#This Row],[dam]],Sheet1!$B$2:$M$970,11, FALSE))</f>
        <v>65000</v>
      </c>
      <c r="L181" s="3">
        <f>_xlfn.IFNA(VLOOKUP(Table3[[#This Row],[damId]],Sheet1!$A$2:$M$970,12, FALSE), VLOOKUP(Table3[[#This Row],[dam]],Sheet1!$B$2:$M$970,12, FALSE))</f>
        <v>178639</v>
      </c>
      <c r="M181" s="3">
        <f>_xlfn.IFNA(VLOOKUP(Table3[[#This Row],[damId]],Sheet1!$A$2:$T$970,20, FALSE), VLOOKUP(Table3[[#This Row],[dam]],Sheet1!$B$2:$T$970,20, FALSE))*Sheet1!$AD$3</f>
        <v>22356.164999999997</v>
      </c>
      <c r="N181" s="3">
        <f>Table3[[#This Row],[Total 
income (Earnings + value - stud fee)]]-Table3[[#This Row],[Maintenance cost ]]</f>
        <v>70016.23</v>
      </c>
      <c r="O181" s="3">
        <f>SUM(Table3[[#This Row],[income1]:[income12]])</f>
        <v>70016.23</v>
      </c>
      <c r="P181" s="3">
        <f>_xlfn.IFNA(VLOOKUP(Table3[[#This Row],[damId]],Sheet1!$A$2:$Y$970,23, FALSE), VLOOKUP(Table3[[#This Row],[dam]],Sheet1!$B$2:$Y$970,23, FALSE))*Sheet1!$AD$3</f>
        <v>0</v>
      </c>
      <c r="Q181" s="3">
        <f>SUM(Table3[[#This Row],[earningsInRaces1]:[earningsInRaces12]])</f>
        <v>0</v>
      </c>
      <c r="R181" s="3">
        <f>SUM(Table3[[#This Row],[auctionPrice1]:[auctionPrice12]])</f>
        <v>135794</v>
      </c>
      <c r="S181" s="3">
        <f>SUM(Table3[[#This Row],[studFeeUSD1]:[studFeeUSD12]])</f>
        <v>-65777.77</v>
      </c>
      <c r="T181" s="7">
        <f>COUNT(Table3[[#This Row],[successfulService1]:[successfulService12]])</f>
        <v>2</v>
      </c>
      <c r="U181" s="7">
        <f>SUM(Table3[[#This Row],[successfulService1]:[successfulService12]])</f>
        <v>2</v>
      </c>
      <c r="V181" s="7">
        <f>SUM(Table3[[#This Row],[soldInAuction1]:[soldInAuction12]])</f>
        <v>1</v>
      </c>
      <c r="W181" s="7">
        <f>SUM(Table3[[#This Row],[foreignHorse1]:[foreignHorse12]])</f>
        <v>1</v>
      </c>
      <c r="X181" s="3">
        <v>0</v>
      </c>
      <c r="Y181" s="3">
        <v>70016.23</v>
      </c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>
        <v>135794</v>
      </c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>
        <v>0</v>
      </c>
      <c r="BI181" s="3">
        <v>-65777.77</v>
      </c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>
        <v>1</v>
      </c>
      <c r="CG181" s="1">
        <v>1</v>
      </c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>
        <v>0</v>
      </c>
      <c r="CS181" s="1">
        <v>1</v>
      </c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>
        <v>0</v>
      </c>
      <c r="DE181" s="1">
        <v>1</v>
      </c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>
        <v>1</v>
      </c>
      <c r="DQ181" s="1">
        <v>2</v>
      </c>
      <c r="DR181" s="1"/>
      <c r="DS181" s="1"/>
      <c r="DT181" s="1"/>
      <c r="DU181" s="1"/>
      <c r="DV181" s="1"/>
      <c r="DW181" s="1"/>
      <c r="DX181" s="1"/>
      <c r="DY181" s="1"/>
      <c r="DZ181" s="1"/>
      <c r="EA181" s="1"/>
    </row>
    <row r="182" spans="1:131" x14ac:dyDescent="0.3">
      <c r="A182">
        <v>9698673</v>
      </c>
      <c r="B182" s="1" t="s">
        <v>661</v>
      </c>
      <c r="C182" s="1" t="s">
        <v>139</v>
      </c>
      <c r="D182" s="1">
        <v>2019</v>
      </c>
      <c r="E182" s="1">
        <v>1</v>
      </c>
      <c r="F182" s="10">
        <f>Table3[[#This Row],[First season 
with SF]]+Table3[[#This Row],['# Services 
provided]]</f>
        <v>3</v>
      </c>
      <c r="G182" s="26">
        <f>(Table3[[#This Row],[Total Income 
(Race + Price 
sold + Offs - maintenance cost)]]-Table3[[#This Row],[Price 
Bought]])/Table3[[#This Row],[Price 
Bought]]</f>
        <v>-7.841183384615384</v>
      </c>
      <c r="H182" s="31">
        <f>Table3[[#This Row],[Race 
earnings]]+Table3[[#This Row],[Price 
Sold]]-Table3[[#This Row],[Maintenance cost]]+Table3[[#This Row],[Total 
profit (Income - cost)]]</f>
        <v>-177870.76799999998</v>
      </c>
      <c r="I182" s="3">
        <f>_xlfn.IFNA(VLOOKUP(Table3[[#This Row],[damId]],Sheet1!$A$2:$M$970,5, FALSE), VLOOKUP(Table3[[#This Row],[dam]],Sheet1!$B$2:$M$970,4, FALSE))</f>
        <v>0</v>
      </c>
      <c r="J182" s="3">
        <f>_xlfn.IFNA(VLOOKUP(Table3[[#This Row],[damId]],Sheet1!$A$2:$M$970,13, FALSE), VLOOKUP(Table3[[#This Row],[dam]],Sheet1!$B$2:$M$970,13, FALSE))</f>
        <v>-26000</v>
      </c>
      <c r="K182" s="3">
        <f>_xlfn.IFNA(VLOOKUP(Table3[[#This Row],[damId]],Sheet1!$A$2:$M$970,11, FALSE), VLOOKUP(Table3[[#This Row],[dam]],Sheet1!$B$2:$M$970,11, FALSE))</f>
        <v>26000</v>
      </c>
      <c r="L182" s="3">
        <f>_xlfn.IFNA(VLOOKUP(Table3[[#This Row],[damId]],Sheet1!$A$2:$M$970,12, FALSE), VLOOKUP(Table3[[#This Row],[dam]],Sheet1!$B$2:$M$970,12, FALSE))</f>
        <v>0</v>
      </c>
      <c r="M182" s="3">
        <f>_xlfn.IFNA(VLOOKUP(Table3[[#This Row],[damId]],Sheet1!$A$2:$T$970,20, FALSE), VLOOKUP(Table3[[#This Row],[dam]],Sheet1!$B$2:$T$970,20, FALSE))*Sheet1!$AD$3</f>
        <v>106602.735</v>
      </c>
      <c r="N182" s="3">
        <f>Table3[[#This Row],[Total 
income (Earnings + value - stud fee)]]-Table3[[#This Row],[Maintenance cost ]]</f>
        <v>-71268.032999999996</v>
      </c>
      <c r="O182" s="3">
        <f>SUM(Table3[[#This Row],[income1]:[income12]])</f>
        <v>12526.482</v>
      </c>
      <c r="P182" s="3">
        <f>_xlfn.IFNA(VLOOKUP(Table3[[#This Row],[damId]],Sheet1!$A$2:$Y$970,23, FALSE), VLOOKUP(Table3[[#This Row],[dam]],Sheet1!$B$2:$Y$970,23, FALSE))*Sheet1!$AD$3</f>
        <v>83794.514999999999</v>
      </c>
      <c r="Q182" s="3">
        <f>SUM(Table3[[#This Row],[earningsInRaces1]:[earningsInRaces12]])</f>
        <v>31045</v>
      </c>
      <c r="R182" s="3">
        <f>SUM(Table3[[#This Row],[auctionPrice1]:[auctionPrice12]])</f>
        <v>35000</v>
      </c>
      <c r="S182" s="3">
        <f>SUM(Table3[[#This Row],[studFeeUSD1]:[studFeeUSD12]])</f>
        <v>-53518.520000000004</v>
      </c>
      <c r="T182" s="7">
        <f>COUNT(Table3[[#This Row],[successfulService1]:[successfulService12]])</f>
        <v>2</v>
      </c>
      <c r="U182" s="7">
        <f>SUM(Table3[[#This Row],[successfulService1]:[successfulService12]])</f>
        <v>2</v>
      </c>
      <c r="V182" s="7">
        <f>SUM(Table3[[#This Row],[soldInAuction1]:[soldInAuction12]])</f>
        <v>1</v>
      </c>
      <c r="W182" s="7">
        <f>SUM(Table3[[#This Row],[foreignHorse1]:[foreignHorse12]])</f>
        <v>0</v>
      </c>
      <c r="X182" s="3">
        <v>5000</v>
      </c>
      <c r="Y182" s="3">
        <v>7526.482</v>
      </c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>
        <v>0</v>
      </c>
      <c r="AK182" s="3">
        <v>31045</v>
      </c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>
        <v>35000</v>
      </c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>
        <v>-30000</v>
      </c>
      <c r="BI182" s="3">
        <v>-23518.52</v>
      </c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1">
        <v>0</v>
      </c>
      <c r="BU182" s="1">
        <v>1</v>
      </c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>
        <v>1</v>
      </c>
      <c r="CG182" s="1">
        <v>1</v>
      </c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>
        <v>1</v>
      </c>
      <c r="CS182" s="1">
        <v>0</v>
      </c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>
        <v>0</v>
      </c>
      <c r="DE182" s="1">
        <v>0</v>
      </c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>
        <v>1</v>
      </c>
      <c r="DQ182" s="1">
        <v>2</v>
      </c>
      <c r="DR182" s="1"/>
      <c r="DS182" s="1"/>
      <c r="DT182" s="1"/>
      <c r="DU182" s="1"/>
      <c r="DV182" s="1"/>
      <c r="DW182" s="1"/>
      <c r="DX182" s="1"/>
      <c r="DY182" s="1"/>
      <c r="DZ182" s="1"/>
      <c r="EA182" s="1"/>
    </row>
    <row r="183" spans="1:131" x14ac:dyDescent="0.3">
      <c r="A183">
        <v>9935018</v>
      </c>
      <c r="B183" s="1" t="s">
        <v>752</v>
      </c>
      <c r="C183" s="1" t="s">
        <v>24</v>
      </c>
      <c r="D183" s="1">
        <v>2019</v>
      </c>
      <c r="E183" s="1">
        <v>1</v>
      </c>
      <c r="F183" s="10">
        <f>Table3[[#This Row],[First season 
with SF]]+Table3[[#This Row],['# Services 
provided]]</f>
        <v>2</v>
      </c>
      <c r="G183" s="26">
        <f>(Table3[[#This Row],[Total Income 
(Race + Price 
sold + Offs - maintenance cost)]]-Table3[[#This Row],[Price 
Bought]])/Table3[[#This Row],[Price 
Bought]]</f>
        <v>-0.87435554545454541</v>
      </c>
      <c r="H183" s="31">
        <f>Table3[[#This Row],[Race 
earnings]]+Table3[[#This Row],[Price 
Sold]]-Table3[[#This Row],[Maintenance cost]]+Table3[[#This Row],[Total 
profit (Income - cost)]]</f>
        <v>27641.78</v>
      </c>
      <c r="I183" s="3">
        <f>_xlfn.IFNA(VLOOKUP(Table3[[#This Row],[damId]],Sheet1!$A$2:$M$970,5, FALSE), VLOOKUP(Table3[[#This Row],[dam]],Sheet1!$B$2:$M$970,4, FALSE))</f>
        <v>0</v>
      </c>
      <c r="J183" s="3">
        <f>_xlfn.IFNA(VLOOKUP(Table3[[#This Row],[damId]],Sheet1!$A$2:$M$970,13, FALSE), VLOOKUP(Table3[[#This Row],[dam]],Sheet1!$B$2:$M$970,13, FALSE))</f>
        <v>-125000</v>
      </c>
      <c r="K183" s="3">
        <f>_xlfn.IFNA(VLOOKUP(Table3[[#This Row],[damId]],Sheet1!$A$2:$M$970,11, FALSE), VLOOKUP(Table3[[#This Row],[dam]],Sheet1!$B$2:$M$970,11, FALSE))</f>
        <v>220000</v>
      </c>
      <c r="L183" s="3">
        <f>_xlfn.IFNA(VLOOKUP(Table3[[#This Row],[damId]],Sheet1!$A$2:$M$970,12, FALSE), VLOOKUP(Table3[[#This Row],[dam]],Sheet1!$B$2:$M$970,12, FALSE))</f>
        <v>95000</v>
      </c>
      <c r="M183" s="3">
        <f>_xlfn.IFNA(VLOOKUP(Table3[[#This Row],[damId]],Sheet1!$A$2:$T$970,20, FALSE), VLOOKUP(Table3[[#This Row],[dam]],Sheet1!$B$2:$T$970,20, FALSE))*Sheet1!$AD$3</f>
        <v>15164.384999999998</v>
      </c>
      <c r="N183" s="3">
        <f>Table3[[#This Row],[Total 
income (Earnings + value - stud fee)]]-Table3[[#This Row],[Maintenance cost ]]</f>
        <v>-52193.835000000006</v>
      </c>
      <c r="O183" s="3">
        <f>SUM(Table3[[#This Row],[income1]:[income12]])</f>
        <v>36450</v>
      </c>
      <c r="P183" s="3">
        <f>_xlfn.IFNA(VLOOKUP(Table3[[#This Row],[damId]],Sheet1!$A$2:$Y$970,23, FALSE), VLOOKUP(Table3[[#This Row],[dam]],Sheet1!$B$2:$Y$970,23, FALSE))*Sheet1!$AD$3</f>
        <v>88643.835000000006</v>
      </c>
      <c r="Q183" s="3">
        <f>SUM(Table3[[#This Row],[earningsInRaces1]:[earningsInRaces12]])</f>
        <v>36450</v>
      </c>
      <c r="R183" s="3">
        <f>SUM(Table3[[#This Row],[auctionPrice1]:[auctionPrice12]])</f>
        <v>0</v>
      </c>
      <c r="S183" s="3">
        <f>SUM(Table3[[#This Row],[studFeeUSD1]:[studFeeUSD12]])</f>
        <v>0</v>
      </c>
      <c r="T183" s="7">
        <f>COUNT(Table3[[#This Row],[successfulService1]:[successfulService12]])</f>
        <v>1</v>
      </c>
      <c r="U183" s="7">
        <f>SUM(Table3[[#This Row],[successfulService1]:[successfulService12]])</f>
        <v>1</v>
      </c>
      <c r="V183" s="7">
        <f>SUM(Table3[[#This Row],[soldInAuction1]:[soldInAuction12]])</f>
        <v>0</v>
      </c>
      <c r="W183" s="7">
        <f>SUM(Table3[[#This Row],[foreignHorse1]:[foreignHorse12]])</f>
        <v>0</v>
      </c>
      <c r="X183" s="3">
        <v>36450</v>
      </c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>
        <v>36450</v>
      </c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>
        <v>0</v>
      </c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1">
        <v>1</v>
      </c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>
        <v>1</v>
      </c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>
        <v>0</v>
      </c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>
        <v>0</v>
      </c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>
        <v>1</v>
      </c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</row>
    <row r="184" spans="1:131" x14ac:dyDescent="0.3">
      <c r="A184">
        <v>5362981</v>
      </c>
      <c r="B184" s="1" t="s">
        <v>79</v>
      </c>
      <c r="C184" s="1" t="s">
        <v>24</v>
      </c>
      <c r="D184" s="1">
        <v>2020</v>
      </c>
      <c r="E184" s="1">
        <v>15</v>
      </c>
      <c r="F184" s="10">
        <f>Table3[[#This Row],[First season 
with SF]]+Table3[[#This Row],['# Services 
provided]]</f>
        <v>17</v>
      </c>
      <c r="G184" s="26">
        <f>(Table3[[#This Row],[Total Income 
(Race + Price 
sold + Offs - maintenance cost)]]-Table3[[#This Row],[Price 
Bought]])/Table3[[#This Row],[Price 
Bought]]</f>
        <v>-2.5159223376623379</v>
      </c>
      <c r="H184" s="31">
        <f>Table3[[#This Row],[Race 
earnings]]+Table3[[#This Row],[Price 
Sold]]-Table3[[#This Row],[Maintenance cost]]+Table3[[#This Row],[Total 
profit (Income - cost)]]</f>
        <v>-116726.02</v>
      </c>
      <c r="I184" s="3">
        <f>_xlfn.IFNA(VLOOKUP(Table3[[#This Row],[damId]],Sheet1!$A$2:$M$970,5, FALSE), VLOOKUP(Table3[[#This Row],[dam]],Sheet1!$B$2:$M$970,4, FALSE))</f>
        <v>0</v>
      </c>
      <c r="J184" s="3">
        <f>_xlfn.IFNA(VLOOKUP(Table3[[#This Row],[damId]],Sheet1!$A$2:$M$970,13, FALSE), VLOOKUP(Table3[[#This Row],[dam]],Sheet1!$B$2:$M$970,13, FALSE))</f>
        <v>-77000</v>
      </c>
      <c r="K184" s="3">
        <f>_xlfn.IFNA(VLOOKUP(Table3[[#This Row],[damId]],Sheet1!$A$2:$M$970,11, FALSE), VLOOKUP(Table3[[#This Row],[dam]],Sheet1!$B$2:$M$970,11, FALSE))</f>
        <v>77000</v>
      </c>
      <c r="L184" s="3">
        <f>_xlfn.IFNA(VLOOKUP(Table3[[#This Row],[damId]],Sheet1!$A$2:$M$970,12, FALSE), VLOOKUP(Table3[[#This Row],[dam]],Sheet1!$B$2:$M$970,12, FALSE))</f>
        <v>0</v>
      </c>
      <c r="M184" s="3">
        <f>_xlfn.IFNA(VLOOKUP(Table3[[#This Row],[damId]],Sheet1!$A$2:$T$970,20, FALSE), VLOOKUP(Table3[[#This Row],[dam]],Sheet1!$B$2:$T$970,20, FALSE))*Sheet1!$AD$3</f>
        <v>106726.02</v>
      </c>
      <c r="N184" s="3">
        <f>Table3[[#This Row],[Total 
income (Earnings + value - stud fee)]]-Table3[[#This Row],[Maintenance cost ]]</f>
        <v>-10000</v>
      </c>
      <c r="O184" s="3">
        <f>SUM(Table3[[#This Row],[income1]:[income12]])</f>
        <v>-10000</v>
      </c>
      <c r="P184" s="3">
        <f>_xlfn.IFNA(VLOOKUP(Table3[[#This Row],[damId]],Sheet1!$A$2:$Y$970,23, FALSE), VLOOKUP(Table3[[#This Row],[dam]],Sheet1!$B$2:$Y$970,23, FALSE))*Sheet1!$AD$3</f>
        <v>0</v>
      </c>
      <c r="Q184" s="3">
        <f>SUM(Table3[[#This Row],[earningsInRaces1]:[earningsInRaces12]])</f>
        <v>0</v>
      </c>
      <c r="R184" s="3">
        <f>SUM(Table3[[#This Row],[auctionPrice1]:[auctionPrice12]])</f>
        <v>0</v>
      </c>
      <c r="S184" s="3">
        <f>SUM(Table3[[#This Row],[studFeeUSD1]:[studFeeUSD12]])</f>
        <v>-10000</v>
      </c>
      <c r="T184" s="7">
        <f>COUNT(Table3[[#This Row],[successfulService1]:[successfulService12]])</f>
        <v>2</v>
      </c>
      <c r="U184" s="7">
        <f>SUM(Table3[[#This Row],[successfulService1]:[successfulService12]])</f>
        <v>0</v>
      </c>
      <c r="V184" s="7">
        <f>SUM(Table3[[#This Row],[soldInAuction1]:[soldInAuction12]])</f>
        <v>0</v>
      </c>
      <c r="W184" s="7">
        <f>SUM(Table3[[#This Row],[foreignHorse1]:[foreignHorse12]])</f>
        <v>0</v>
      </c>
      <c r="X184" s="3">
        <v>0</v>
      </c>
      <c r="Y184" s="3">
        <v>-10000</v>
      </c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>
        <v>0</v>
      </c>
      <c r="BI184" s="3">
        <v>-10000</v>
      </c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>
        <v>0</v>
      </c>
      <c r="CG184" s="1">
        <v>0</v>
      </c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>
        <v>0</v>
      </c>
      <c r="CS184" s="1">
        <v>0</v>
      </c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>
        <v>0</v>
      </c>
      <c r="DE184" s="1">
        <v>0</v>
      </c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>
        <v>15</v>
      </c>
      <c r="DQ184" s="1">
        <v>16</v>
      </c>
      <c r="DR184" s="1"/>
      <c r="DS184" s="1"/>
      <c r="DT184" s="1"/>
      <c r="DU184" s="1"/>
      <c r="DV184" s="1"/>
      <c r="DW184" s="1"/>
      <c r="DX184" s="1"/>
      <c r="DY184" s="1"/>
      <c r="DZ184" s="1"/>
      <c r="EA184" s="1"/>
    </row>
    <row r="185" spans="1:131" x14ac:dyDescent="0.3">
      <c r="A185">
        <v>6634089</v>
      </c>
      <c r="B185" s="1" t="s">
        <v>111</v>
      </c>
      <c r="C185" s="1" t="s">
        <v>24</v>
      </c>
      <c r="D185" s="1">
        <v>2020</v>
      </c>
      <c r="E185" s="1">
        <v>12</v>
      </c>
      <c r="F185" s="10">
        <f>Table3[[#This Row],[First season 
with SF]]+Table3[[#This Row],['# Services 
provided]]</f>
        <v>15</v>
      </c>
      <c r="G185" s="26">
        <f>(Table3[[#This Row],[Total Income 
(Race + Price 
sold + Offs - maintenance cost)]]-Table3[[#This Row],[Price 
Bought]])/Table3[[#This Row],[Price 
Bought]]</f>
        <v>-0.2624368421052633</v>
      </c>
      <c r="H185" s="31">
        <f>Table3[[#This Row],[Race 
earnings]]+Table3[[#This Row],[Price 
Sold]]-Table3[[#This Row],[Maintenance cost]]+Table3[[#This Row],[Total 
profit (Income - cost)]]</f>
        <v>42041.099999999991</v>
      </c>
      <c r="I185" s="3">
        <f>_xlfn.IFNA(VLOOKUP(Table3[[#This Row],[damId]],Sheet1!$A$2:$M$970,5, FALSE), VLOOKUP(Table3[[#This Row],[dam]],Sheet1!$B$2:$M$970,4, FALSE))</f>
        <v>0</v>
      </c>
      <c r="J185" s="3">
        <f>_xlfn.IFNA(VLOOKUP(Table3[[#This Row],[damId]],Sheet1!$A$2:$M$970,13, FALSE), VLOOKUP(Table3[[#This Row],[dam]],Sheet1!$B$2:$M$970,13, FALSE))</f>
        <v>-57000</v>
      </c>
      <c r="K185" s="3">
        <f>_xlfn.IFNA(VLOOKUP(Table3[[#This Row],[damId]],Sheet1!$A$2:$M$970,11, FALSE), VLOOKUP(Table3[[#This Row],[dam]],Sheet1!$B$2:$M$970,11, FALSE))</f>
        <v>57000</v>
      </c>
      <c r="L185" s="3">
        <f>_xlfn.IFNA(VLOOKUP(Table3[[#This Row],[damId]],Sheet1!$A$2:$M$970,12, FALSE), VLOOKUP(Table3[[#This Row],[dam]],Sheet1!$B$2:$M$970,12, FALSE))</f>
        <v>0</v>
      </c>
      <c r="M185" s="3">
        <f>_xlfn.IFNA(VLOOKUP(Table3[[#This Row],[damId]],Sheet1!$A$2:$T$970,20, FALSE), VLOOKUP(Table3[[#This Row],[dam]],Sheet1!$B$2:$T$970,20, FALSE))*Sheet1!$AD$3</f>
        <v>91726.02</v>
      </c>
      <c r="N185" s="3">
        <f>Table3[[#This Row],[Total 
income (Earnings + value - stud fee)]]-Table3[[#This Row],[Maintenance cost ]]</f>
        <v>133767.12</v>
      </c>
      <c r="O185" s="3">
        <f>SUM(Table3[[#This Row],[income1]:[income12]])</f>
        <v>165000</v>
      </c>
      <c r="P185" s="3">
        <f>_xlfn.IFNA(VLOOKUP(Table3[[#This Row],[damId]],Sheet1!$A$2:$Y$970,23, FALSE), VLOOKUP(Table3[[#This Row],[dam]],Sheet1!$B$2:$Y$970,23, FALSE))*Sheet1!$AD$3</f>
        <v>31232.880000000001</v>
      </c>
      <c r="Q185" s="3">
        <f>SUM(Table3[[#This Row],[earningsInRaces1]:[earningsInRaces12]])</f>
        <v>0</v>
      </c>
      <c r="R185" s="3">
        <f>SUM(Table3[[#This Row],[auctionPrice1]:[auctionPrice12]])</f>
        <v>375000</v>
      </c>
      <c r="S185" s="3">
        <f>SUM(Table3[[#This Row],[studFeeUSD1]:[studFeeUSD12]])</f>
        <v>-210000</v>
      </c>
      <c r="T185" s="7">
        <f>COUNT(Table3[[#This Row],[successfulService1]:[successfulService12]])</f>
        <v>3</v>
      </c>
      <c r="U185" s="7">
        <f>SUM(Table3[[#This Row],[successfulService1]:[successfulService12]])</f>
        <v>2</v>
      </c>
      <c r="V185" s="7">
        <f>SUM(Table3[[#This Row],[soldInAuction1]:[soldInAuction12]])</f>
        <v>2</v>
      </c>
      <c r="W185" s="7">
        <f>SUM(Table3[[#This Row],[foreignHorse1]:[foreignHorse12]])</f>
        <v>0</v>
      </c>
      <c r="X185" s="3">
        <v>175000</v>
      </c>
      <c r="Y185" s="3">
        <v>50000</v>
      </c>
      <c r="Z185" s="3">
        <v>-60000</v>
      </c>
      <c r="AA185" s="3"/>
      <c r="AB185" s="3"/>
      <c r="AC185" s="3"/>
      <c r="AD185" s="3"/>
      <c r="AE185" s="3"/>
      <c r="AF185" s="3"/>
      <c r="AG185" s="3"/>
      <c r="AH185" s="3"/>
      <c r="AI185" s="3"/>
      <c r="AJ185" s="3">
        <v>0</v>
      </c>
      <c r="AK185" s="3">
        <v>0</v>
      </c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>
        <v>175000</v>
      </c>
      <c r="AW185" s="3">
        <v>200000</v>
      </c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>
        <v>0</v>
      </c>
      <c r="BI185" s="3">
        <v>-150000</v>
      </c>
      <c r="BJ185" s="3">
        <v>-60000</v>
      </c>
      <c r="BK185" s="3"/>
      <c r="BL185" s="3"/>
      <c r="BM185" s="3"/>
      <c r="BN185" s="3"/>
      <c r="BO185" s="3"/>
      <c r="BP185" s="3"/>
      <c r="BQ185" s="3"/>
      <c r="BR185" s="3"/>
      <c r="BS185" s="3"/>
      <c r="BT185" s="1">
        <v>0</v>
      </c>
      <c r="BU185" s="1">
        <v>0</v>
      </c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>
        <v>1</v>
      </c>
      <c r="CG185" s="1">
        <v>1</v>
      </c>
      <c r="CH185" s="1">
        <v>0</v>
      </c>
      <c r="CI185" s="1"/>
      <c r="CJ185" s="1"/>
      <c r="CK185" s="1"/>
      <c r="CL185" s="1"/>
      <c r="CM185" s="1"/>
      <c r="CN185" s="1"/>
      <c r="CO185" s="1"/>
      <c r="CP185" s="1"/>
      <c r="CQ185" s="1"/>
      <c r="CR185" s="1">
        <v>1</v>
      </c>
      <c r="CS185" s="1">
        <v>1</v>
      </c>
      <c r="CT185" s="1">
        <v>0</v>
      </c>
      <c r="CU185" s="1"/>
      <c r="CV185" s="1"/>
      <c r="CW185" s="1"/>
      <c r="CX185" s="1"/>
      <c r="CY185" s="1"/>
      <c r="CZ185" s="1"/>
      <c r="DA185" s="1"/>
      <c r="DB185" s="1"/>
      <c r="DC185" s="1"/>
      <c r="DD185" s="1">
        <v>0</v>
      </c>
      <c r="DE185" s="1">
        <v>0</v>
      </c>
      <c r="DF185" s="1">
        <v>0</v>
      </c>
      <c r="DG185" s="1"/>
      <c r="DH185" s="1"/>
      <c r="DI185" s="1"/>
      <c r="DJ185" s="1"/>
      <c r="DK185" s="1"/>
      <c r="DL185" s="1"/>
      <c r="DM185" s="1"/>
      <c r="DN185" s="1"/>
      <c r="DO185" s="1"/>
      <c r="DP185" s="1">
        <v>12</v>
      </c>
      <c r="DQ185" s="1">
        <v>13</v>
      </c>
      <c r="DR185" s="1">
        <v>14</v>
      </c>
      <c r="DS185" s="1"/>
      <c r="DT185" s="1"/>
      <c r="DU185" s="1"/>
      <c r="DV185" s="1"/>
      <c r="DW185" s="1"/>
      <c r="DX185" s="1"/>
      <c r="DY185" s="1"/>
      <c r="DZ185" s="1"/>
      <c r="EA185" s="1"/>
    </row>
    <row r="186" spans="1:131" x14ac:dyDescent="0.3">
      <c r="A186">
        <v>6863797</v>
      </c>
      <c r="B186" s="1" t="s">
        <v>125</v>
      </c>
      <c r="C186" s="1" t="s">
        <v>24</v>
      </c>
      <c r="D186" s="1">
        <v>2020</v>
      </c>
      <c r="E186" s="1">
        <v>12</v>
      </c>
      <c r="F186" s="10">
        <f>Table3[[#This Row],[First season 
with SF]]+Table3[[#This Row],['# Services 
provided]]</f>
        <v>14</v>
      </c>
      <c r="G186" s="26">
        <f>(Table3[[#This Row],[Total Income 
(Race + Price 
sold + Offs - maintenance cost)]]-Table3[[#This Row],[Price 
Bought]])/Table3[[#This Row],[Price 
Bought]]</f>
        <v>-0.97772491304347831</v>
      </c>
      <c r="H186" s="31">
        <f>Table3[[#This Row],[Race 
earnings]]+Table3[[#This Row],[Price 
Sold]]-Table3[[#This Row],[Maintenance cost]]+Table3[[#This Row],[Total 
profit (Income - cost)]]</f>
        <v>2561.6349999999948</v>
      </c>
      <c r="I186" s="3">
        <f>_xlfn.IFNA(VLOOKUP(Table3[[#This Row],[damId]],Sheet1!$A$2:$M$970,5, FALSE), VLOOKUP(Table3[[#This Row],[dam]],Sheet1!$B$2:$M$970,4, FALSE))</f>
        <v>0</v>
      </c>
      <c r="J186" s="3">
        <f>_xlfn.IFNA(VLOOKUP(Table3[[#This Row],[damId]],Sheet1!$A$2:$M$970,13, FALSE), VLOOKUP(Table3[[#This Row],[dam]],Sheet1!$B$2:$M$970,13, FALSE))</f>
        <v>-115000</v>
      </c>
      <c r="K186" s="3">
        <f>_xlfn.IFNA(VLOOKUP(Table3[[#This Row],[damId]],Sheet1!$A$2:$M$970,11, FALSE), VLOOKUP(Table3[[#This Row],[dam]],Sheet1!$B$2:$M$970,11, FALSE))</f>
        <v>115000</v>
      </c>
      <c r="L186" s="3">
        <f>_xlfn.IFNA(VLOOKUP(Table3[[#This Row],[damId]],Sheet1!$A$2:$M$970,12, FALSE), VLOOKUP(Table3[[#This Row],[dam]],Sheet1!$B$2:$M$970,12, FALSE))</f>
        <v>0</v>
      </c>
      <c r="M186" s="3">
        <f>_xlfn.IFNA(VLOOKUP(Table3[[#This Row],[damId]],Sheet1!$A$2:$T$970,20, FALSE), VLOOKUP(Table3[[#This Row],[dam]],Sheet1!$B$2:$T$970,20, FALSE))*Sheet1!$AD$3</f>
        <v>79273.98000000001</v>
      </c>
      <c r="N186" s="3">
        <f>Table3[[#This Row],[Total 
income (Earnings + value - stud fee)]]-Table3[[#This Row],[Maintenance cost ]]</f>
        <v>81835.615000000005</v>
      </c>
      <c r="O186" s="3">
        <f>SUM(Table3[[#This Row],[income1]:[income12]])</f>
        <v>100000</v>
      </c>
      <c r="P186" s="3">
        <f>_xlfn.IFNA(VLOOKUP(Table3[[#This Row],[damId]],Sheet1!$A$2:$Y$970,23, FALSE), VLOOKUP(Table3[[#This Row],[dam]],Sheet1!$B$2:$Y$970,23, FALSE))*Sheet1!$AD$3</f>
        <v>18164.384999999998</v>
      </c>
      <c r="Q186" s="3">
        <f>SUM(Table3[[#This Row],[earningsInRaces1]:[earningsInRaces12]])</f>
        <v>0</v>
      </c>
      <c r="R186" s="3">
        <f>SUM(Table3[[#This Row],[auctionPrice1]:[auctionPrice12]])</f>
        <v>120000</v>
      </c>
      <c r="S186" s="3">
        <f>SUM(Table3[[#This Row],[studFeeUSD1]:[studFeeUSD12]])</f>
        <v>-20000</v>
      </c>
      <c r="T186" s="7">
        <f>COUNT(Table3[[#This Row],[successfulService1]:[successfulService12]])</f>
        <v>2</v>
      </c>
      <c r="U186" s="7">
        <f>SUM(Table3[[#This Row],[successfulService1]:[successfulService12]])</f>
        <v>2</v>
      </c>
      <c r="V186" s="7">
        <f>SUM(Table3[[#This Row],[soldInAuction1]:[soldInAuction12]])</f>
        <v>2</v>
      </c>
      <c r="W186" s="7">
        <f>SUM(Table3[[#This Row],[foreignHorse1]:[foreignHorse12]])</f>
        <v>0</v>
      </c>
      <c r="X186" s="3">
        <v>60000</v>
      </c>
      <c r="Y186" s="3">
        <v>40000</v>
      </c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>
        <v>0</v>
      </c>
      <c r="AK186" s="3">
        <v>0</v>
      </c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>
        <v>60000</v>
      </c>
      <c r="AW186" s="3">
        <v>60000</v>
      </c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>
        <v>0</v>
      </c>
      <c r="BI186" s="3">
        <v>-20000</v>
      </c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1">
        <v>0</v>
      </c>
      <c r="BU186" s="1">
        <v>0</v>
      </c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>
        <v>1</v>
      </c>
      <c r="CG186" s="1">
        <v>1</v>
      </c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>
        <v>1</v>
      </c>
      <c r="CS186" s="1">
        <v>1</v>
      </c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>
        <v>0</v>
      </c>
      <c r="DE186" s="1">
        <v>0</v>
      </c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>
        <v>12</v>
      </c>
      <c r="DQ186" s="1">
        <v>13</v>
      </c>
      <c r="DR186" s="1"/>
      <c r="DS186" s="1"/>
      <c r="DT186" s="1"/>
      <c r="DU186" s="1"/>
      <c r="DV186" s="1"/>
      <c r="DW186" s="1"/>
      <c r="DX186" s="1"/>
      <c r="DY186" s="1"/>
      <c r="DZ186" s="1"/>
      <c r="EA186" s="1"/>
    </row>
    <row r="187" spans="1:131" x14ac:dyDescent="0.3">
      <c r="A187">
        <v>7179912</v>
      </c>
      <c r="B187" s="1" t="s">
        <v>144</v>
      </c>
      <c r="C187" s="1" t="s">
        <v>24</v>
      </c>
      <c r="D187" s="1">
        <v>2020</v>
      </c>
      <c r="E187" s="1">
        <v>12</v>
      </c>
      <c r="F187" s="10">
        <f>Table3[[#This Row],[First season 
with SF]]+Table3[[#This Row],['# Services 
provided]]</f>
        <v>16</v>
      </c>
      <c r="G187" s="26">
        <f>(Table3[[#This Row],[Total Income 
(Race + Price 
sold + Offs - maintenance cost)]]-Table3[[#This Row],[Price 
Bought]])/Table3[[#This Row],[Price 
Bought]]</f>
        <v>1.4781039411764709</v>
      </c>
      <c r="H187" s="31">
        <f>Table3[[#This Row],[Race 
earnings]]+Table3[[#This Row],[Price 
Sold]]-Table3[[#This Row],[Maintenance cost]]+Table3[[#This Row],[Total 
profit (Income - cost)]]</f>
        <v>210638.83500000002</v>
      </c>
      <c r="I187" s="3">
        <f>_xlfn.IFNA(VLOOKUP(Table3[[#This Row],[damId]],Sheet1!$A$2:$M$970,5, FALSE), VLOOKUP(Table3[[#This Row],[dam]],Sheet1!$B$2:$M$970,4, FALSE))</f>
        <v>0</v>
      </c>
      <c r="J187" s="3">
        <f>_xlfn.IFNA(VLOOKUP(Table3[[#This Row],[damId]],Sheet1!$A$2:$M$970,13, FALSE), VLOOKUP(Table3[[#This Row],[dam]],Sheet1!$B$2:$M$970,13, FALSE))</f>
        <v>-85000</v>
      </c>
      <c r="K187" s="3">
        <f>_xlfn.IFNA(VLOOKUP(Table3[[#This Row],[damId]],Sheet1!$A$2:$M$970,11, FALSE), VLOOKUP(Table3[[#This Row],[dam]],Sheet1!$B$2:$M$970,11, FALSE))</f>
        <v>85000</v>
      </c>
      <c r="L187" s="3">
        <f>_xlfn.IFNA(VLOOKUP(Table3[[#This Row],[damId]],Sheet1!$A$2:$M$970,12, FALSE), VLOOKUP(Table3[[#This Row],[dam]],Sheet1!$B$2:$M$970,12, FALSE))</f>
        <v>0</v>
      </c>
      <c r="M187" s="3">
        <f>_xlfn.IFNA(VLOOKUP(Table3[[#This Row],[damId]],Sheet1!$A$2:$T$970,20, FALSE), VLOOKUP(Table3[[#This Row],[dam]],Sheet1!$B$2:$T$970,20, FALSE))*Sheet1!$AD$3</f>
        <v>79232.88</v>
      </c>
      <c r="N187" s="3">
        <f>Table3[[#This Row],[Total 
income (Earnings + value - stud fee)]]-Table3[[#This Row],[Maintenance cost ]]</f>
        <v>289871.71500000003</v>
      </c>
      <c r="O187" s="3">
        <f>SUM(Table3[[#This Row],[income1]:[income12]])</f>
        <v>330474.45</v>
      </c>
      <c r="P187" s="3">
        <f>_xlfn.IFNA(VLOOKUP(Table3[[#This Row],[damId]],Sheet1!$A$2:$Y$970,23, FALSE), VLOOKUP(Table3[[#This Row],[dam]],Sheet1!$B$2:$Y$970,23, FALSE))*Sheet1!$AD$3</f>
        <v>40602.735000000001</v>
      </c>
      <c r="Q187" s="3">
        <f>SUM(Table3[[#This Row],[earningsInRaces1]:[earningsInRaces12]])</f>
        <v>0</v>
      </c>
      <c r="R187" s="3">
        <f>SUM(Table3[[#This Row],[auctionPrice1]:[auctionPrice12]])</f>
        <v>475000</v>
      </c>
      <c r="S187" s="3">
        <f>SUM(Table3[[#This Row],[studFeeUSD1]:[studFeeUSD12]])</f>
        <v>-144525.54999999999</v>
      </c>
      <c r="T187" s="7">
        <f>COUNT(Table3[[#This Row],[successfulService1]:[successfulService12]])</f>
        <v>4</v>
      </c>
      <c r="U187" s="7">
        <f>SUM(Table3[[#This Row],[successfulService1]:[successfulService12]])</f>
        <v>3</v>
      </c>
      <c r="V187" s="7">
        <f>SUM(Table3[[#This Row],[soldInAuction1]:[soldInAuction12]])</f>
        <v>2</v>
      </c>
      <c r="W187" s="7">
        <f>SUM(Table3[[#This Row],[foreignHorse1]:[foreignHorse12]])</f>
        <v>1</v>
      </c>
      <c r="X187" s="3">
        <v>400000</v>
      </c>
      <c r="Y187" s="3">
        <v>50474.45</v>
      </c>
      <c r="Z187" s="3">
        <v>-60000</v>
      </c>
      <c r="AA187" s="3">
        <v>-60000</v>
      </c>
      <c r="AB187" s="3"/>
      <c r="AC187" s="3"/>
      <c r="AD187" s="3"/>
      <c r="AE187" s="3"/>
      <c r="AF187" s="3"/>
      <c r="AG187" s="3"/>
      <c r="AH187" s="3"/>
      <c r="AI187" s="3"/>
      <c r="AJ187" s="3">
        <v>0</v>
      </c>
      <c r="AK187" s="3">
        <v>0</v>
      </c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>
        <v>400000</v>
      </c>
      <c r="AW187" s="3">
        <v>75000</v>
      </c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>
        <v>0</v>
      </c>
      <c r="BI187" s="3">
        <v>-24525.55</v>
      </c>
      <c r="BJ187" s="3">
        <v>-60000</v>
      </c>
      <c r="BK187" s="3">
        <v>-60000</v>
      </c>
      <c r="BL187" s="3"/>
      <c r="BM187" s="3"/>
      <c r="BN187" s="3"/>
      <c r="BO187" s="3"/>
      <c r="BP187" s="3"/>
      <c r="BQ187" s="3"/>
      <c r="BR187" s="3"/>
      <c r="BS187" s="3"/>
      <c r="BT187" s="1">
        <v>0</v>
      </c>
      <c r="BU187" s="1">
        <v>0</v>
      </c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>
        <v>1</v>
      </c>
      <c r="CG187" s="1">
        <v>1</v>
      </c>
      <c r="CH187" s="1">
        <v>1</v>
      </c>
      <c r="CI187" s="1">
        <v>0</v>
      </c>
      <c r="CJ187" s="1"/>
      <c r="CK187" s="1"/>
      <c r="CL187" s="1"/>
      <c r="CM187" s="1"/>
      <c r="CN187" s="1"/>
      <c r="CO187" s="1"/>
      <c r="CP187" s="1"/>
      <c r="CQ187" s="1"/>
      <c r="CR187" s="1">
        <v>1</v>
      </c>
      <c r="CS187" s="1">
        <v>1</v>
      </c>
      <c r="CT187" s="1">
        <v>0</v>
      </c>
      <c r="CU187" s="1">
        <v>0</v>
      </c>
      <c r="CV187" s="1"/>
      <c r="CW187" s="1"/>
      <c r="CX187" s="1"/>
      <c r="CY187" s="1"/>
      <c r="CZ187" s="1"/>
      <c r="DA187" s="1"/>
      <c r="DB187" s="1"/>
      <c r="DC187" s="1"/>
      <c r="DD187" s="1">
        <v>1</v>
      </c>
      <c r="DE187" s="1">
        <v>0</v>
      </c>
      <c r="DF187" s="1">
        <v>0</v>
      </c>
      <c r="DG187" s="1">
        <v>0</v>
      </c>
      <c r="DH187" s="1"/>
      <c r="DI187" s="1"/>
      <c r="DJ187" s="1"/>
      <c r="DK187" s="1"/>
      <c r="DL187" s="1"/>
      <c r="DM187" s="1"/>
      <c r="DN187" s="1"/>
      <c r="DO187" s="1"/>
      <c r="DP187" s="1">
        <v>12</v>
      </c>
      <c r="DQ187" s="1">
        <v>14</v>
      </c>
      <c r="DR187" s="1">
        <v>16</v>
      </c>
      <c r="DS187" s="1">
        <v>17</v>
      </c>
      <c r="DT187" s="1"/>
      <c r="DU187" s="1"/>
      <c r="DV187" s="1"/>
      <c r="DW187" s="1"/>
      <c r="DX187" s="1"/>
      <c r="DY187" s="1"/>
      <c r="DZ187" s="1"/>
      <c r="EA187" s="1"/>
    </row>
    <row r="188" spans="1:131" x14ac:dyDescent="0.3">
      <c r="A188">
        <v>7207486</v>
      </c>
      <c r="B188" s="1" t="s">
        <v>146</v>
      </c>
      <c r="C188" s="1" t="s">
        <v>24</v>
      </c>
      <c r="D188" s="1">
        <v>2020</v>
      </c>
      <c r="E188" s="1">
        <v>12</v>
      </c>
      <c r="F188" s="10">
        <f>Table3[[#This Row],[First season 
with SF]]+Table3[[#This Row],['# Services 
provided]]</f>
        <v>14</v>
      </c>
      <c r="G188" s="26">
        <f>(Table3[[#This Row],[Total Income 
(Race + Price 
sold + Offs - maintenance cost)]]-Table3[[#This Row],[Price 
Bought]])/Table3[[#This Row],[Price 
Bought]]</f>
        <v>-0.3473057499999998</v>
      </c>
      <c r="H188" s="31">
        <f>Table3[[#This Row],[Race 
earnings]]+Table3[[#This Row],[Price 
Sold]]-Table3[[#This Row],[Maintenance cost]]+Table3[[#This Row],[Total 
profit (Income - cost)]]</f>
        <v>65269.425000000017</v>
      </c>
      <c r="I188" s="3">
        <f>_xlfn.IFNA(VLOOKUP(Table3[[#This Row],[damId]],Sheet1!$A$2:$M$970,5, FALSE), VLOOKUP(Table3[[#This Row],[dam]],Sheet1!$B$2:$M$970,4, FALSE))</f>
        <v>0</v>
      </c>
      <c r="J188" s="3">
        <f>_xlfn.IFNA(VLOOKUP(Table3[[#This Row],[damId]],Sheet1!$A$2:$M$970,13, FALSE), VLOOKUP(Table3[[#This Row],[dam]],Sheet1!$B$2:$M$970,13, FALSE))</f>
        <v>-100000</v>
      </c>
      <c r="K188" s="3">
        <f>_xlfn.IFNA(VLOOKUP(Table3[[#This Row],[damId]],Sheet1!$A$2:$M$970,11, FALSE), VLOOKUP(Table3[[#This Row],[dam]],Sheet1!$B$2:$M$970,11, FALSE))</f>
        <v>100000</v>
      </c>
      <c r="L188" s="3">
        <f>_xlfn.IFNA(VLOOKUP(Table3[[#This Row],[damId]],Sheet1!$A$2:$M$970,12, FALSE), VLOOKUP(Table3[[#This Row],[dam]],Sheet1!$B$2:$M$970,12, FALSE))</f>
        <v>0</v>
      </c>
      <c r="M188" s="3">
        <f>_xlfn.IFNA(VLOOKUP(Table3[[#This Row],[damId]],Sheet1!$A$2:$T$970,20, FALSE), VLOOKUP(Table3[[#This Row],[dam]],Sheet1!$B$2:$T$970,20, FALSE))*Sheet1!$AD$3</f>
        <v>79232.88</v>
      </c>
      <c r="N188" s="3">
        <f>Table3[[#This Row],[Total 
income (Earnings + value - stud fee)]]-Table3[[#This Row],[Maintenance cost ]]</f>
        <v>144502.30500000002</v>
      </c>
      <c r="O188" s="3">
        <f>SUM(Table3[[#This Row],[income1]:[income12]])</f>
        <v>177132.45</v>
      </c>
      <c r="P188" s="3">
        <f>_xlfn.IFNA(VLOOKUP(Table3[[#This Row],[damId]],Sheet1!$A$2:$Y$970,23, FALSE), VLOOKUP(Table3[[#This Row],[dam]],Sheet1!$B$2:$Y$970,23, FALSE))*Sheet1!$AD$3</f>
        <v>32630.144999999997</v>
      </c>
      <c r="Q188" s="3">
        <f>SUM(Table3[[#This Row],[earningsInRaces1]:[earningsInRaces12]])</f>
        <v>0</v>
      </c>
      <c r="R188" s="3">
        <f>SUM(Table3[[#This Row],[auctionPrice1]:[auctionPrice12]])</f>
        <v>201658</v>
      </c>
      <c r="S188" s="3">
        <f>SUM(Table3[[#This Row],[studFeeUSD1]:[studFeeUSD12]])</f>
        <v>-24525.55</v>
      </c>
      <c r="T188" s="7">
        <f>COUNT(Table3[[#This Row],[successfulService1]:[successfulService12]])</f>
        <v>2</v>
      </c>
      <c r="U188" s="7">
        <f>SUM(Table3[[#This Row],[successfulService1]:[successfulService12]])</f>
        <v>2</v>
      </c>
      <c r="V188" s="7">
        <f>SUM(Table3[[#This Row],[soldInAuction1]:[soldInAuction12]])</f>
        <v>2</v>
      </c>
      <c r="W188" s="7">
        <f>SUM(Table3[[#This Row],[foreignHorse1]:[foreignHorse12]])</f>
        <v>1</v>
      </c>
      <c r="X188" s="3">
        <v>190000</v>
      </c>
      <c r="Y188" s="3">
        <v>-12867.55</v>
      </c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>
        <v>0</v>
      </c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>
        <v>190000</v>
      </c>
      <c r="AW188" s="3">
        <v>11658</v>
      </c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>
        <v>0</v>
      </c>
      <c r="BI188" s="3">
        <v>-24525.55</v>
      </c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1">
        <v>0</v>
      </c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>
        <v>1</v>
      </c>
      <c r="CG188" s="1">
        <v>1</v>
      </c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>
        <v>1</v>
      </c>
      <c r="CS188" s="1">
        <v>1</v>
      </c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>
        <v>1</v>
      </c>
      <c r="DE188" s="1">
        <v>0</v>
      </c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>
        <v>12</v>
      </c>
      <c r="DQ188" s="1">
        <v>14</v>
      </c>
      <c r="DR188" s="1"/>
      <c r="DS188" s="1"/>
      <c r="DT188" s="1"/>
      <c r="DU188" s="1"/>
      <c r="DV188" s="1"/>
      <c r="DW188" s="1"/>
      <c r="DX188" s="1"/>
      <c r="DY188" s="1"/>
      <c r="DZ188" s="1"/>
      <c r="EA188" s="1"/>
    </row>
    <row r="189" spans="1:131" x14ac:dyDescent="0.3">
      <c r="A189">
        <v>7374648</v>
      </c>
      <c r="B189" s="1" t="s">
        <v>152</v>
      </c>
      <c r="C189" s="1" t="s">
        <v>24</v>
      </c>
      <c r="D189" s="1">
        <v>2020</v>
      </c>
      <c r="E189" s="1">
        <v>11</v>
      </c>
      <c r="F189" s="10">
        <f>Table3[[#This Row],[First season 
with SF]]+Table3[[#This Row],['# Services 
provided]]</f>
        <v>14</v>
      </c>
      <c r="G189" s="26">
        <f>(Table3[[#This Row],[Total Income 
(Race + Price 
sold + Offs - maintenance cost)]]-Table3[[#This Row],[Price 
Bought]])/Table3[[#This Row],[Price 
Bought]]</f>
        <v>-1.3037443333333334</v>
      </c>
      <c r="H189" s="31">
        <f>Table3[[#This Row],[Race 
earnings]]+Table3[[#This Row],[Price 
Sold]]-Table3[[#This Row],[Maintenance cost]]+Table3[[#This Row],[Total 
profit (Income - cost)]]</f>
        <v>-45561.650000000009</v>
      </c>
      <c r="I189" s="3">
        <f>_xlfn.IFNA(VLOOKUP(Table3[[#This Row],[damId]],Sheet1!$A$2:$M$970,5, FALSE), VLOOKUP(Table3[[#This Row],[dam]],Sheet1!$B$2:$M$970,4, FALSE))</f>
        <v>0</v>
      </c>
      <c r="J189" s="3">
        <f>_xlfn.IFNA(VLOOKUP(Table3[[#This Row],[damId]],Sheet1!$A$2:$M$970,13, FALSE), VLOOKUP(Table3[[#This Row],[dam]],Sheet1!$B$2:$M$970,13, FALSE))</f>
        <v>-150000</v>
      </c>
      <c r="K189" s="3">
        <f>_xlfn.IFNA(VLOOKUP(Table3[[#This Row],[damId]],Sheet1!$A$2:$M$970,11, FALSE), VLOOKUP(Table3[[#This Row],[dam]],Sheet1!$B$2:$M$970,11, FALSE))</f>
        <v>150000</v>
      </c>
      <c r="L189" s="3">
        <f>_xlfn.IFNA(VLOOKUP(Table3[[#This Row],[damId]],Sheet1!$A$2:$M$970,12, FALSE), VLOOKUP(Table3[[#This Row],[dam]],Sheet1!$B$2:$M$970,12, FALSE))</f>
        <v>0</v>
      </c>
      <c r="M189" s="3">
        <f>_xlfn.IFNA(VLOOKUP(Table3[[#This Row],[damId]],Sheet1!$A$2:$T$970,20, FALSE), VLOOKUP(Table3[[#This Row],[dam]],Sheet1!$B$2:$T$970,20, FALSE))*Sheet1!$AD$3</f>
        <v>79232.88</v>
      </c>
      <c r="N189" s="3">
        <f>Table3[[#This Row],[Total 
income (Earnings + value - stud fee)]]-Table3[[#This Row],[Maintenance cost ]]</f>
        <v>33671.229999999996</v>
      </c>
      <c r="O189" s="3">
        <f>SUM(Table3[[#This Row],[income1]:[income12]])</f>
        <v>52000</v>
      </c>
      <c r="P189" s="3">
        <f>_xlfn.IFNA(VLOOKUP(Table3[[#This Row],[damId]],Sheet1!$A$2:$Y$970,23, FALSE), VLOOKUP(Table3[[#This Row],[dam]],Sheet1!$B$2:$Y$970,23, FALSE))*Sheet1!$AD$3</f>
        <v>18328.77</v>
      </c>
      <c r="Q189" s="3">
        <f>SUM(Table3[[#This Row],[earningsInRaces1]:[earningsInRaces12]])</f>
        <v>0</v>
      </c>
      <c r="R189" s="3">
        <f>SUM(Table3[[#This Row],[auctionPrice1]:[auctionPrice12]])</f>
        <v>207000</v>
      </c>
      <c r="S189" s="3">
        <f>SUM(Table3[[#This Row],[studFeeUSD1]:[studFeeUSD12]])</f>
        <v>-155000</v>
      </c>
      <c r="T189" s="7">
        <f>COUNT(Table3[[#This Row],[successfulService1]:[successfulService12]])</f>
        <v>3</v>
      </c>
      <c r="U189" s="7">
        <f>SUM(Table3[[#This Row],[successfulService1]:[successfulService12]])</f>
        <v>2</v>
      </c>
      <c r="V189" s="7">
        <f>SUM(Table3[[#This Row],[soldInAuction1]:[soldInAuction12]])</f>
        <v>2</v>
      </c>
      <c r="W189" s="7">
        <f>SUM(Table3[[#This Row],[foreignHorse1]:[foreignHorse12]])</f>
        <v>0</v>
      </c>
      <c r="X189" s="3">
        <v>32000</v>
      </c>
      <c r="Y189" s="3">
        <v>-125000</v>
      </c>
      <c r="Z189" s="3">
        <v>145000</v>
      </c>
      <c r="AA189" s="3"/>
      <c r="AB189" s="3"/>
      <c r="AC189" s="3"/>
      <c r="AD189" s="3"/>
      <c r="AE189" s="3"/>
      <c r="AF189" s="3"/>
      <c r="AG189" s="3"/>
      <c r="AH189" s="3"/>
      <c r="AI189" s="3"/>
      <c r="AJ189" s="3">
        <v>0</v>
      </c>
      <c r="AK189" s="3"/>
      <c r="AL189" s="3">
        <v>0</v>
      </c>
      <c r="AM189" s="3"/>
      <c r="AN189" s="3"/>
      <c r="AO189" s="3"/>
      <c r="AP189" s="3"/>
      <c r="AQ189" s="3"/>
      <c r="AR189" s="3"/>
      <c r="AS189" s="3"/>
      <c r="AT189" s="3"/>
      <c r="AU189" s="3"/>
      <c r="AV189" s="3">
        <v>32000</v>
      </c>
      <c r="AW189" s="3"/>
      <c r="AX189" s="3">
        <v>175000</v>
      </c>
      <c r="AY189" s="3"/>
      <c r="AZ189" s="3"/>
      <c r="BA189" s="3"/>
      <c r="BB189" s="3"/>
      <c r="BC189" s="3"/>
      <c r="BD189" s="3"/>
      <c r="BE189" s="3"/>
      <c r="BF189" s="3"/>
      <c r="BG189" s="3"/>
      <c r="BH189" s="3">
        <v>0</v>
      </c>
      <c r="BI189" s="3">
        <v>-125000</v>
      </c>
      <c r="BJ189" s="3">
        <v>-30000</v>
      </c>
      <c r="BK189" s="3"/>
      <c r="BL189" s="3"/>
      <c r="BM189" s="3"/>
      <c r="BN189" s="3"/>
      <c r="BO189" s="3"/>
      <c r="BP189" s="3"/>
      <c r="BQ189" s="3"/>
      <c r="BR189" s="3"/>
      <c r="BS189" s="3"/>
      <c r="BT189" s="1">
        <v>0</v>
      </c>
      <c r="BU189" s="1"/>
      <c r="BV189" s="1">
        <v>0</v>
      </c>
      <c r="BW189" s="1"/>
      <c r="BX189" s="1"/>
      <c r="BY189" s="1"/>
      <c r="BZ189" s="1"/>
      <c r="CA189" s="1"/>
      <c r="CB189" s="1"/>
      <c r="CC189" s="1"/>
      <c r="CD189" s="1"/>
      <c r="CE189" s="1"/>
      <c r="CF189" s="1">
        <v>1</v>
      </c>
      <c r="CG189" s="1">
        <v>0</v>
      </c>
      <c r="CH189" s="1">
        <v>1</v>
      </c>
      <c r="CI189" s="1"/>
      <c r="CJ189" s="1"/>
      <c r="CK189" s="1"/>
      <c r="CL189" s="1"/>
      <c r="CM189" s="1"/>
      <c r="CN189" s="1"/>
      <c r="CO189" s="1"/>
      <c r="CP189" s="1"/>
      <c r="CQ189" s="1"/>
      <c r="CR189" s="1">
        <v>1</v>
      </c>
      <c r="CS189" s="1">
        <v>0</v>
      </c>
      <c r="CT189" s="1">
        <v>1</v>
      </c>
      <c r="CU189" s="1"/>
      <c r="CV189" s="1"/>
      <c r="CW189" s="1"/>
      <c r="CX189" s="1"/>
      <c r="CY189" s="1"/>
      <c r="CZ189" s="1"/>
      <c r="DA189" s="1"/>
      <c r="DB189" s="1"/>
      <c r="DC189" s="1"/>
      <c r="DD189" s="1">
        <v>0</v>
      </c>
      <c r="DE189" s="1">
        <v>0</v>
      </c>
      <c r="DF189" s="1">
        <v>0</v>
      </c>
      <c r="DG189" s="1"/>
      <c r="DH189" s="1"/>
      <c r="DI189" s="1"/>
      <c r="DJ189" s="1"/>
      <c r="DK189" s="1"/>
      <c r="DL189" s="1"/>
      <c r="DM189" s="1"/>
      <c r="DN189" s="1"/>
      <c r="DO189" s="1"/>
      <c r="DP189" s="1">
        <v>11</v>
      </c>
      <c r="DQ189" s="1">
        <v>12</v>
      </c>
      <c r="DR189" s="1">
        <v>13</v>
      </c>
      <c r="DS189" s="1"/>
      <c r="DT189" s="1"/>
      <c r="DU189" s="1"/>
      <c r="DV189" s="1"/>
      <c r="DW189" s="1"/>
      <c r="DX189" s="1"/>
      <c r="DY189" s="1"/>
      <c r="DZ189" s="1"/>
      <c r="EA189" s="1"/>
    </row>
    <row r="190" spans="1:131" x14ac:dyDescent="0.3">
      <c r="A190">
        <v>7471287</v>
      </c>
      <c r="B190" s="1" t="s">
        <v>169</v>
      </c>
      <c r="C190" s="1" t="s">
        <v>24</v>
      </c>
      <c r="D190" s="1">
        <v>2020</v>
      </c>
      <c r="E190" s="1">
        <v>10</v>
      </c>
      <c r="F190" s="10">
        <f>Table3[[#This Row],[First season 
with SF]]+Table3[[#This Row],['# Services 
provided]]</f>
        <v>17</v>
      </c>
      <c r="G190" s="26">
        <f>(Table3[[#This Row],[Total Income 
(Race + Price 
sold + Offs - maintenance cost)]]-Table3[[#This Row],[Price 
Bought]])/Table3[[#This Row],[Price 
Bought]]</f>
        <v>0.74396015584415598</v>
      </c>
      <c r="H190" s="31">
        <f>Table3[[#This Row],[Race 
earnings]]+Table3[[#This Row],[Price 
Sold]]-Table3[[#This Row],[Maintenance cost]]+Table3[[#This Row],[Total 
profit (Income - cost)]]</f>
        <v>671424.66</v>
      </c>
      <c r="I190" s="3">
        <f>_xlfn.IFNA(VLOOKUP(Table3[[#This Row],[damId]],Sheet1!$A$2:$M$970,5, FALSE), VLOOKUP(Table3[[#This Row],[dam]],Sheet1!$B$2:$M$970,4, FALSE))</f>
        <v>0</v>
      </c>
      <c r="J190" s="3">
        <f>_xlfn.IFNA(VLOOKUP(Table3[[#This Row],[damId]],Sheet1!$A$2:$M$970,13, FALSE), VLOOKUP(Table3[[#This Row],[dam]],Sheet1!$B$2:$M$970,13, FALSE))</f>
        <v>-385000</v>
      </c>
      <c r="K190" s="3">
        <f>_xlfn.IFNA(VLOOKUP(Table3[[#This Row],[damId]],Sheet1!$A$2:$M$970,11, FALSE), VLOOKUP(Table3[[#This Row],[dam]],Sheet1!$B$2:$M$970,11, FALSE))</f>
        <v>385000</v>
      </c>
      <c r="L190" s="3">
        <f>_xlfn.IFNA(VLOOKUP(Table3[[#This Row],[damId]],Sheet1!$A$2:$M$970,12, FALSE), VLOOKUP(Table3[[#This Row],[dam]],Sheet1!$B$2:$M$970,12, FALSE))</f>
        <v>0</v>
      </c>
      <c r="M190" s="3">
        <f>_xlfn.IFNA(VLOOKUP(Table3[[#This Row],[damId]],Sheet1!$A$2:$T$970,20, FALSE), VLOOKUP(Table3[[#This Row],[dam]],Sheet1!$B$2:$T$970,20, FALSE))*Sheet1!$AD$3</f>
        <v>79315.064999999988</v>
      </c>
      <c r="N190" s="3">
        <f>Table3[[#This Row],[Total 
income (Earnings + value - stud fee)]]-Table3[[#This Row],[Maintenance cost ]]</f>
        <v>750739.72499999998</v>
      </c>
      <c r="O190" s="3">
        <f>SUM(Table3[[#This Row],[income1]:[income12]])</f>
        <v>795000</v>
      </c>
      <c r="P190" s="3">
        <f>_xlfn.IFNA(VLOOKUP(Table3[[#This Row],[damId]],Sheet1!$A$2:$Y$970,23, FALSE), VLOOKUP(Table3[[#This Row],[dam]],Sheet1!$B$2:$Y$970,23, FALSE))*Sheet1!$AD$3</f>
        <v>44260.275000000001</v>
      </c>
      <c r="Q190" s="3">
        <f>SUM(Table3[[#This Row],[earningsInRaces1]:[earningsInRaces12]])</f>
        <v>0</v>
      </c>
      <c r="R190" s="3">
        <f>SUM(Table3[[#This Row],[auctionPrice1]:[auctionPrice12]])</f>
        <v>1325000</v>
      </c>
      <c r="S190" s="3">
        <f>SUM(Table3[[#This Row],[studFeeUSD1]:[studFeeUSD12]])</f>
        <v>-530000</v>
      </c>
      <c r="T190" s="7">
        <f>COUNT(Table3[[#This Row],[successfulService1]:[successfulService12]])</f>
        <v>7</v>
      </c>
      <c r="U190" s="7">
        <f>SUM(Table3[[#This Row],[successfulService1]:[successfulService12]])</f>
        <v>4</v>
      </c>
      <c r="V190" s="7">
        <f>SUM(Table3[[#This Row],[soldInAuction1]:[soldInAuction12]])</f>
        <v>3</v>
      </c>
      <c r="W190" s="7">
        <f>SUM(Table3[[#This Row],[foreignHorse1]:[foreignHorse12]])</f>
        <v>0</v>
      </c>
      <c r="X190" s="3">
        <v>775000</v>
      </c>
      <c r="Y190" s="3">
        <v>150000</v>
      </c>
      <c r="Z190" s="3">
        <v>-60000</v>
      </c>
      <c r="AA190" s="3">
        <v>90000</v>
      </c>
      <c r="AB190" s="3">
        <v>0</v>
      </c>
      <c r="AC190" s="3">
        <v>-100000</v>
      </c>
      <c r="AD190" s="3">
        <v>-60000</v>
      </c>
      <c r="AE190" s="3"/>
      <c r="AF190" s="3"/>
      <c r="AG190" s="3"/>
      <c r="AH190" s="3"/>
      <c r="AI190" s="3"/>
      <c r="AJ190" s="3">
        <v>0</v>
      </c>
      <c r="AK190" s="3">
        <v>0</v>
      </c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>
        <v>775000</v>
      </c>
      <c r="AW190" s="3">
        <v>400000</v>
      </c>
      <c r="AX190" s="3"/>
      <c r="AY190" s="3">
        <v>150000</v>
      </c>
      <c r="AZ190" s="3"/>
      <c r="BA190" s="3"/>
      <c r="BB190" s="3"/>
      <c r="BC190" s="3"/>
      <c r="BD190" s="3"/>
      <c r="BE190" s="3"/>
      <c r="BF190" s="3"/>
      <c r="BG190" s="3"/>
      <c r="BH190" s="3">
        <v>0</v>
      </c>
      <c r="BI190" s="3">
        <v>-250000</v>
      </c>
      <c r="BJ190" s="3">
        <v>-60000</v>
      </c>
      <c r="BK190" s="3">
        <v>-60000</v>
      </c>
      <c r="BL190" s="3"/>
      <c r="BM190" s="3">
        <v>-100000</v>
      </c>
      <c r="BN190" s="3">
        <v>-60000</v>
      </c>
      <c r="BO190" s="3"/>
      <c r="BP190" s="3"/>
      <c r="BQ190" s="3"/>
      <c r="BR190" s="3"/>
      <c r="BS190" s="3"/>
      <c r="BT190" s="1">
        <v>0</v>
      </c>
      <c r="BU190" s="1">
        <v>0</v>
      </c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>
        <v>1</v>
      </c>
      <c r="CG190" s="1">
        <v>1</v>
      </c>
      <c r="CH190" s="1">
        <v>1</v>
      </c>
      <c r="CI190" s="1">
        <v>1</v>
      </c>
      <c r="CJ190" s="1">
        <v>0</v>
      </c>
      <c r="CK190" s="1">
        <v>0</v>
      </c>
      <c r="CL190" s="1">
        <v>0</v>
      </c>
      <c r="CM190" s="1"/>
      <c r="CN190" s="1"/>
      <c r="CO190" s="1"/>
      <c r="CP190" s="1"/>
      <c r="CQ190" s="1"/>
      <c r="CR190" s="1">
        <v>1</v>
      </c>
      <c r="CS190" s="1">
        <v>1</v>
      </c>
      <c r="CT190" s="1">
        <v>0</v>
      </c>
      <c r="CU190" s="1">
        <v>1</v>
      </c>
      <c r="CV190" s="1">
        <v>0</v>
      </c>
      <c r="CW190" s="1">
        <v>0</v>
      </c>
      <c r="CX190" s="1">
        <v>0</v>
      </c>
      <c r="CY190" s="1"/>
      <c r="CZ190" s="1"/>
      <c r="DA190" s="1"/>
      <c r="DB190" s="1"/>
      <c r="DC190" s="1"/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/>
      <c r="DL190" s="1"/>
      <c r="DM190" s="1"/>
      <c r="DN190" s="1"/>
      <c r="DO190" s="1"/>
      <c r="DP190" s="1">
        <v>10</v>
      </c>
      <c r="DQ190" s="1">
        <v>11</v>
      </c>
      <c r="DR190" s="1">
        <v>12</v>
      </c>
      <c r="DS190" s="1">
        <v>13</v>
      </c>
      <c r="DT190" s="1">
        <v>14</v>
      </c>
      <c r="DU190" s="1">
        <v>14</v>
      </c>
      <c r="DV190" s="1">
        <v>15</v>
      </c>
      <c r="DW190" s="1"/>
      <c r="DX190" s="1"/>
      <c r="DY190" s="1"/>
      <c r="DZ190" s="1"/>
      <c r="EA190" s="1"/>
    </row>
    <row r="191" spans="1:131" x14ac:dyDescent="0.3">
      <c r="A191">
        <v>7760298</v>
      </c>
      <c r="B191" s="1" t="s">
        <v>207</v>
      </c>
      <c r="C191" s="1" t="s">
        <v>24</v>
      </c>
      <c r="D191" s="1">
        <v>2020</v>
      </c>
      <c r="E191" s="1">
        <v>11</v>
      </c>
      <c r="F191" s="10">
        <f>Table3[[#This Row],[First season 
with SF]]+Table3[[#This Row],['# Services 
provided]]</f>
        <v>12</v>
      </c>
      <c r="G191" s="26">
        <f>(Table3[[#This Row],[Total Income 
(Race + Price 
sold + Offs - maintenance cost)]]-Table3[[#This Row],[Price 
Bought]])/Table3[[#This Row],[Price 
Bought]]</f>
        <v>4.970645000000002E-2</v>
      </c>
      <c r="H191" s="31">
        <f>Table3[[#This Row],[Race 
earnings]]+Table3[[#This Row],[Price 
Sold]]-Table3[[#This Row],[Maintenance cost]]+Table3[[#This Row],[Total 
profit (Income - cost)]]</f>
        <v>734794.51500000001</v>
      </c>
      <c r="I191" s="3">
        <f>_xlfn.IFNA(VLOOKUP(Table3[[#This Row],[damId]],Sheet1!$A$2:$M$970,5, FALSE), VLOOKUP(Table3[[#This Row],[dam]],Sheet1!$B$2:$M$970,4, FALSE))</f>
        <v>0</v>
      </c>
      <c r="J191" s="3">
        <f>_xlfn.IFNA(VLOOKUP(Table3[[#This Row],[damId]],Sheet1!$A$2:$M$970,13, FALSE), VLOOKUP(Table3[[#This Row],[dam]],Sheet1!$B$2:$M$970,13, FALSE))</f>
        <v>50000</v>
      </c>
      <c r="K191" s="3">
        <f>_xlfn.IFNA(VLOOKUP(Table3[[#This Row],[damId]],Sheet1!$A$2:$M$970,11, FALSE), VLOOKUP(Table3[[#This Row],[dam]],Sheet1!$B$2:$M$970,11, FALSE))</f>
        <v>700000</v>
      </c>
      <c r="L191" s="3">
        <f>_xlfn.IFNA(VLOOKUP(Table3[[#This Row],[damId]],Sheet1!$A$2:$M$970,12, FALSE), VLOOKUP(Table3[[#This Row],[dam]],Sheet1!$B$2:$M$970,12, FALSE))</f>
        <v>750000</v>
      </c>
      <c r="M191" s="3">
        <f>_xlfn.IFNA(VLOOKUP(Table3[[#This Row],[damId]],Sheet1!$A$2:$T$970,20, FALSE), VLOOKUP(Table3[[#This Row],[dam]],Sheet1!$B$2:$T$970,20, FALSE))*Sheet1!$AD$3</f>
        <v>15205.484999999999</v>
      </c>
      <c r="N191" s="3">
        <f>Table3[[#This Row],[Total 
income (Earnings + value - stud fee)]]-Table3[[#This Row],[Maintenance cost ]]</f>
        <v>0</v>
      </c>
      <c r="O191" s="3">
        <f>SUM(Table3[[#This Row],[income1]:[income12]])</f>
        <v>0</v>
      </c>
      <c r="P191" s="3">
        <f>_xlfn.IFNA(VLOOKUP(Table3[[#This Row],[damId]],Sheet1!$A$2:$Y$970,23, FALSE), VLOOKUP(Table3[[#This Row],[dam]],Sheet1!$B$2:$Y$970,23, FALSE))*Sheet1!$AD$3</f>
        <v>0</v>
      </c>
      <c r="Q191" s="3">
        <f>SUM(Table3[[#This Row],[earningsInRaces1]:[earningsInRaces12]])</f>
        <v>0</v>
      </c>
      <c r="R191" s="3">
        <f>SUM(Table3[[#This Row],[auctionPrice1]:[auctionPrice12]])</f>
        <v>0</v>
      </c>
      <c r="S191" s="3">
        <f>SUM(Table3[[#This Row],[studFeeUSD1]:[studFeeUSD12]])</f>
        <v>0</v>
      </c>
      <c r="T191" s="7">
        <f>COUNT(Table3[[#This Row],[successfulService1]:[successfulService12]])</f>
        <v>1</v>
      </c>
      <c r="U191" s="7">
        <f>SUM(Table3[[#This Row],[successfulService1]:[successfulService12]])</f>
        <v>0</v>
      </c>
      <c r="V191" s="7">
        <f>SUM(Table3[[#This Row],[soldInAuction1]:[soldInAuction12]])</f>
        <v>0</v>
      </c>
      <c r="W191" s="7">
        <f>SUM(Table3[[#This Row],[foreignHorse1]:[foreignHorse12]])</f>
        <v>0</v>
      </c>
      <c r="X191" s="3">
        <v>0</v>
      </c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>
        <v>0</v>
      </c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>
        <v>0</v>
      </c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>
        <v>0</v>
      </c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>
        <v>0</v>
      </c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>
        <v>11</v>
      </c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</row>
    <row r="192" spans="1:131" x14ac:dyDescent="0.3">
      <c r="A192">
        <v>8069122</v>
      </c>
      <c r="B192" s="1" t="s">
        <v>246</v>
      </c>
      <c r="C192" s="1" t="s">
        <v>24</v>
      </c>
      <c r="D192" s="1">
        <v>2020</v>
      </c>
      <c r="E192" s="1">
        <v>9</v>
      </c>
      <c r="F192" s="10">
        <f>Table3[[#This Row],[First season 
with SF]]+Table3[[#This Row],['# Services 
provided]]</f>
        <v>15</v>
      </c>
      <c r="G192" s="26">
        <f>(Table3[[#This Row],[Total Income 
(Race + Price 
sold + Offs - maintenance cost)]]-Table3[[#This Row],[Price 
Bought]])/Table3[[#This Row],[Price 
Bought]]</f>
        <v>-21.450684900000002</v>
      </c>
      <c r="H192" s="31">
        <f>Table3[[#This Row],[Race 
earnings]]+Table3[[#This Row],[Price 
Sold]]-Table3[[#This Row],[Maintenance cost]]+Table3[[#This Row],[Total 
profit (Income - cost)]]</f>
        <v>-306760.27350000001</v>
      </c>
      <c r="I192" s="3">
        <f>_xlfn.IFNA(VLOOKUP(Table3[[#This Row],[damId]],Sheet1!$A$2:$M$970,5, FALSE), VLOOKUP(Table3[[#This Row],[dam]],Sheet1!$B$2:$M$970,4, FALSE))</f>
        <v>0</v>
      </c>
      <c r="J192" s="3">
        <f>_xlfn.IFNA(VLOOKUP(Table3[[#This Row],[damId]],Sheet1!$A$2:$M$970,13, FALSE), VLOOKUP(Table3[[#This Row],[dam]],Sheet1!$B$2:$M$970,13, FALSE))</f>
        <v>-15000</v>
      </c>
      <c r="K192" s="3">
        <f>_xlfn.IFNA(VLOOKUP(Table3[[#This Row],[damId]],Sheet1!$A$2:$M$970,11, FALSE), VLOOKUP(Table3[[#This Row],[dam]],Sheet1!$B$2:$M$970,11, FALSE))</f>
        <v>15000</v>
      </c>
      <c r="L192" s="3">
        <f>_xlfn.IFNA(VLOOKUP(Table3[[#This Row],[damId]],Sheet1!$A$2:$M$970,12, FALSE), VLOOKUP(Table3[[#This Row],[dam]],Sheet1!$B$2:$M$970,12, FALSE))</f>
        <v>0</v>
      </c>
      <c r="M192" s="3">
        <f>_xlfn.IFNA(VLOOKUP(Table3[[#This Row],[damId]],Sheet1!$A$2:$T$970,20, FALSE), VLOOKUP(Table3[[#This Row],[dam]],Sheet1!$B$2:$T$970,20, FALSE))*Sheet1!$AD$3</f>
        <v>79191.78</v>
      </c>
      <c r="N192" s="3">
        <f>Table3[[#This Row],[Total 
income (Earnings + value - stud fee)]]-Table3[[#This Row],[Maintenance cost ]]</f>
        <v>-227568.49350000001</v>
      </c>
      <c r="O192" s="3">
        <f>SUM(Table3[[#This Row],[income1]:[income12]])</f>
        <v>-217500</v>
      </c>
      <c r="P192" s="3">
        <f>_xlfn.IFNA(VLOOKUP(Table3[[#This Row],[damId]],Sheet1!$A$2:$Y$970,23, FALSE), VLOOKUP(Table3[[#This Row],[dam]],Sheet1!$B$2:$Y$970,23, FALSE))*Sheet1!$AD$3</f>
        <v>10068.4935</v>
      </c>
      <c r="Q192" s="3">
        <f>SUM(Table3[[#This Row],[earningsInRaces1]:[earningsInRaces12]])</f>
        <v>0</v>
      </c>
      <c r="R192" s="3">
        <f>SUM(Table3[[#This Row],[auctionPrice1]:[auctionPrice12]])</f>
        <v>85000</v>
      </c>
      <c r="S192" s="3">
        <f>SUM(Table3[[#This Row],[studFeeUSD1]:[studFeeUSD12]])</f>
        <v>-302500</v>
      </c>
      <c r="T192" s="7">
        <f>COUNT(Table3[[#This Row],[successfulService1]:[successfulService12]])</f>
        <v>6</v>
      </c>
      <c r="U192" s="7">
        <f>SUM(Table3[[#This Row],[successfulService1]:[successfulService12]])</f>
        <v>1</v>
      </c>
      <c r="V192" s="7">
        <f>SUM(Table3[[#This Row],[soldInAuction1]:[soldInAuction12]])</f>
        <v>1</v>
      </c>
      <c r="W192" s="7">
        <f>SUM(Table3[[#This Row],[foreignHorse1]:[foreignHorse12]])</f>
        <v>0</v>
      </c>
      <c r="X192" s="3">
        <v>-40000</v>
      </c>
      <c r="Y192" s="3">
        <v>-85000</v>
      </c>
      <c r="Z192" s="3">
        <v>62500</v>
      </c>
      <c r="AA192" s="3">
        <v>-25000</v>
      </c>
      <c r="AB192" s="3">
        <v>-100000</v>
      </c>
      <c r="AC192" s="3">
        <v>-30000</v>
      </c>
      <c r="AD192" s="3"/>
      <c r="AE192" s="3"/>
      <c r="AF192" s="3"/>
      <c r="AG192" s="3"/>
      <c r="AH192" s="3"/>
      <c r="AI192" s="3"/>
      <c r="AJ192" s="3"/>
      <c r="AK192" s="3"/>
      <c r="AL192" s="3">
        <v>0</v>
      </c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>
        <v>85000</v>
      </c>
      <c r="AY192" s="3"/>
      <c r="AZ192" s="3"/>
      <c r="BA192" s="3"/>
      <c r="BB192" s="3"/>
      <c r="BC192" s="3"/>
      <c r="BD192" s="3"/>
      <c r="BE192" s="3"/>
      <c r="BF192" s="3"/>
      <c r="BG192" s="3"/>
      <c r="BH192" s="3">
        <v>-40000</v>
      </c>
      <c r="BI192" s="3">
        <v>-85000</v>
      </c>
      <c r="BJ192" s="3">
        <v>-22500</v>
      </c>
      <c r="BK192" s="3">
        <v>-25000</v>
      </c>
      <c r="BL192" s="3">
        <v>-100000</v>
      </c>
      <c r="BM192" s="3">
        <v>-30000</v>
      </c>
      <c r="BN192" s="3"/>
      <c r="BO192" s="3"/>
      <c r="BP192" s="3"/>
      <c r="BQ192" s="3"/>
      <c r="BR192" s="3"/>
      <c r="BS192" s="3"/>
      <c r="BT192" s="1"/>
      <c r="BU192" s="1"/>
      <c r="BV192" s="1">
        <v>0</v>
      </c>
      <c r="BW192" s="1"/>
      <c r="BX192" s="1"/>
      <c r="BY192" s="1"/>
      <c r="BZ192" s="1"/>
      <c r="CA192" s="1"/>
      <c r="CB192" s="1"/>
      <c r="CC192" s="1"/>
      <c r="CD192" s="1"/>
      <c r="CE192" s="1"/>
      <c r="CF192" s="1">
        <v>0</v>
      </c>
      <c r="CG192" s="1">
        <v>0</v>
      </c>
      <c r="CH192" s="1">
        <v>1</v>
      </c>
      <c r="CI192" s="1">
        <v>0</v>
      </c>
      <c r="CJ192" s="1">
        <v>0</v>
      </c>
      <c r="CK192" s="1">
        <v>0</v>
      </c>
      <c r="CL192" s="1"/>
      <c r="CM192" s="1"/>
      <c r="CN192" s="1"/>
      <c r="CO192" s="1"/>
      <c r="CP192" s="1"/>
      <c r="CQ192" s="1"/>
      <c r="CR192" s="1">
        <v>0</v>
      </c>
      <c r="CS192" s="1">
        <v>0</v>
      </c>
      <c r="CT192" s="1">
        <v>1</v>
      </c>
      <c r="CU192" s="1">
        <v>0</v>
      </c>
      <c r="CV192" s="1">
        <v>0</v>
      </c>
      <c r="CW192" s="1">
        <v>0</v>
      </c>
      <c r="CX192" s="1"/>
      <c r="CY192" s="1"/>
      <c r="CZ192" s="1"/>
      <c r="DA192" s="1"/>
      <c r="DB192" s="1"/>
      <c r="DC192" s="1"/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/>
      <c r="DK192" s="1"/>
      <c r="DL192" s="1"/>
      <c r="DM192" s="1"/>
      <c r="DN192" s="1"/>
      <c r="DO192" s="1"/>
      <c r="DP192" s="1">
        <v>9</v>
      </c>
      <c r="DQ192" s="1">
        <v>10</v>
      </c>
      <c r="DR192" s="1">
        <v>11</v>
      </c>
      <c r="DS192" s="1">
        <v>12</v>
      </c>
      <c r="DT192" s="1">
        <v>13</v>
      </c>
      <c r="DU192" s="1">
        <v>14</v>
      </c>
      <c r="DV192" s="1"/>
      <c r="DW192" s="1"/>
      <c r="DX192" s="1"/>
      <c r="DY192" s="1"/>
      <c r="DZ192" s="1"/>
      <c r="EA192" s="1"/>
    </row>
    <row r="193" spans="1:131" x14ac:dyDescent="0.3">
      <c r="A193">
        <v>8303572</v>
      </c>
      <c r="B193" s="1" t="s">
        <v>264</v>
      </c>
      <c r="C193" s="1" t="s">
        <v>24</v>
      </c>
      <c r="D193" s="1">
        <v>2020</v>
      </c>
      <c r="E193" s="1">
        <v>7</v>
      </c>
      <c r="F193" s="10">
        <f>Table3[[#This Row],[First season 
with SF]]+Table3[[#This Row],['# Services 
provided]]</f>
        <v>11</v>
      </c>
      <c r="G193" s="26">
        <f>(Table3[[#This Row],[Total Income 
(Race + Price 
sold + Offs - maintenance cost)]]-Table3[[#This Row],[Price 
Bought]])/Table3[[#This Row],[Price 
Bought]]</f>
        <v>-2.0941470227272725</v>
      </c>
      <c r="H193" s="31">
        <f>Table3[[#This Row],[Race 
earnings]]+Table3[[#This Row],[Price 
Sold]]-Table3[[#This Row],[Maintenance cost]]+Table3[[#This Row],[Total 
profit (Income - cost)]]</f>
        <v>-240712.345</v>
      </c>
      <c r="I193" s="3">
        <f>_xlfn.IFNA(VLOOKUP(Table3[[#This Row],[damId]],Sheet1!$A$2:$M$970,5, FALSE), VLOOKUP(Table3[[#This Row],[dam]],Sheet1!$B$2:$M$970,4, FALSE))</f>
        <v>0</v>
      </c>
      <c r="J193" s="3">
        <f>_xlfn.IFNA(VLOOKUP(Table3[[#This Row],[damId]],Sheet1!$A$2:$M$970,13, FALSE), VLOOKUP(Table3[[#This Row],[dam]],Sheet1!$B$2:$M$970,13, FALSE))</f>
        <v>-220000</v>
      </c>
      <c r="K193" s="3">
        <f>_xlfn.IFNA(VLOOKUP(Table3[[#This Row],[damId]],Sheet1!$A$2:$M$970,11, FALSE), VLOOKUP(Table3[[#This Row],[dam]],Sheet1!$B$2:$M$970,11, FALSE))</f>
        <v>220000</v>
      </c>
      <c r="L193" s="3">
        <f>_xlfn.IFNA(VLOOKUP(Table3[[#This Row],[damId]],Sheet1!$A$2:$M$970,12, FALSE), VLOOKUP(Table3[[#This Row],[dam]],Sheet1!$B$2:$M$970,12, FALSE))</f>
        <v>0</v>
      </c>
      <c r="M193" s="3">
        <f>_xlfn.IFNA(VLOOKUP(Table3[[#This Row],[damId]],Sheet1!$A$2:$T$970,20, FALSE), VLOOKUP(Table3[[#This Row],[dam]],Sheet1!$B$2:$T$970,20, FALSE))*Sheet1!$AD$3</f>
        <v>79273.98000000001</v>
      </c>
      <c r="N193" s="3">
        <f>Table3[[#This Row],[Total 
income (Earnings + value - stud fee)]]-Table3[[#This Row],[Maintenance cost ]]</f>
        <v>-161438.36499999999</v>
      </c>
      <c r="O193" s="3">
        <f>SUM(Table3[[#This Row],[income1]:[income12]])</f>
        <v>-85000</v>
      </c>
      <c r="P193" s="3">
        <f>_xlfn.IFNA(VLOOKUP(Table3[[#This Row],[damId]],Sheet1!$A$2:$Y$970,23, FALSE), VLOOKUP(Table3[[#This Row],[dam]],Sheet1!$B$2:$Y$970,23, FALSE))*Sheet1!$AD$3</f>
        <v>76438.365000000005</v>
      </c>
      <c r="Q193" s="3">
        <f>SUM(Table3[[#This Row],[earningsInRaces1]:[earningsInRaces12]])</f>
        <v>0</v>
      </c>
      <c r="R193" s="3">
        <f>SUM(Table3[[#This Row],[auctionPrice1]:[auctionPrice12]])</f>
        <v>0</v>
      </c>
      <c r="S193" s="3">
        <f>SUM(Table3[[#This Row],[studFeeUSD1]:[studFeeUSD12]])</f>
        <v>-85000</v>
      </c>
      <c r="T193" s="7">
        <f>COUNT(Table3[[#This Row],[successfulService1]:[successfulService12]])</f>
        <v>4</v>
      </c>
      <c r="U193" s="7">
        <f>SUM(Table3[[#This Row],[successfulService1]:[successfulService12]])</f>
        <v>1</v>
      </c>
      <c r="V193" s="7">
        <f>SUM(Table3[[#This Row],[soldInAuction1]:[soldInAuction12]])</f>
        <v>0</v>
      </c>
      <c r="W193" s="7">
        <f>SUM(Table3[[#This Row],[foreignHorse1]:[foreignHorse12]])</f>
        <v>0</v>
      </c>
      <c r="X193" s="3">
        <v>0</v>
      </c>
      <c r="Y193" s="3">
        <v>-40000</v>
      </c>
      <c r="Z193" s="3">
        <v>-22500</v>
      </c>
      <c r="AA193" s="3">
        <v>-22500</v>
      </c>
      <c r="AB193" s="3"/>
      <c r="AC193" s="3"/>
      <c r="AD193" s="3"/>
      <c r="AE193" s="3"/>
      <c r="AF193" s="3"/>
      <c r="AG193" s="3"/>
      <c r="AH193" s="3"/>
      <c r="AI193" s="3"/>
      <c r="AJ193" s="3">
        <v>0</v>
      </c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>
        <v>0</v>
      </c>
      <c r="BI193" s="3">
        <v>-40000</v>
      </c>
      <c r="BJ193" s="3">
        <v>-22500</v>
      </c>
      <c r="BK193" s="3">
        <v>-22500</v>
      </c>
      <c r="BL193" s="3"/>
      <c r="BM193" s="3"/>
      <c r="BN193" s="3"/>
      <c r="BO193" s="3"/>
      <c r="BP193" s="3"/>
      <c r="BQ193" s="3"/>
      <c r="BR193" s="3"/>
      <c r="BS193" s="3"/>
      <c r="BT193" s="1">
        <v>0</v>
      </c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>
        <v>1</v>
      </c>
      <c r="CG193" s="1">
        <v>0</v>
      </c>
      <c r="CH193" s="1">
        <v>0</v>
      </c>
      <c r="CI193" s="1">
        <v>0</v>
      </c>
      <c r="CJ193" s="1"/>
      <c r="CK193" s="1"/>
      <c r="CL193" s="1"/>
      <c r="CM193" s="1"/>
      <c r="CN193" s="1"/>
      <c r="CO193" s="1"/>
      <c r="CP193" s="1"/>
      <c r="CQ193" s="1"/>
      <c r="CR193" s="1">
        <v>0</v>
      </c>
      <c r="CS193" s="1">
        <v>0</v>
      </c>
      <c r="CT193" s="1">
        <v>0</v>
      </c>
      <c r="CU193" s="1">
        <v>0</v>
      </c>
      <c r="CV193" s="1"/>
      <c r="CW193" s="1"/>
      <c r="CX193" s="1"/>
      <c r="CY193" s="1"/>
      <c r="CZ193" s="1"/>
      <c r="DA193" s="1"/>
      <c r="DB193" s="1"/>
      <c r="DC193" s="1"/>
      <c r="DD193" s="1">
        <v>0</v>
      </c>
      <c r="DE193" s="1">
        <v>0</v>
      </c>
      <c r="DF193" s="1">
        <v>0</v>
      </c>
      <c r="DG193" s="1">
        <v>0</v>
      </c>
      <c r="DH193" s="1"/>
      <c r="DI193" s="1"/>
      <c r="DJ193" s="1"/>
      <c r="DK193" s="1"/>
      <c r="DL193" s="1"/>
      <c r="DM193" s="1"/>
      <c r="DN193" s="1"/>
      <c r="DO193" s="1"/>
      <c r="DP193" s="1">
        <v>7</v>
      </c>
      <c r="DQ193" s="1">
        <v>8</v>
      </c>
      <c r="DR193" s="1">
        <v>9</v>
      </c>
      <c r="DS193" s="1">
        <v>10</v>
      </c>
      <c r="DT193" s="1"/>
      <c r="DU193" s="1"/>
      <c r="DV193" s="1"/>
      <c r="DW193" s="1"/>
      <c r="DX193" s="1"/>
      <c r="DY193" s="1"/>
      <c r="DZ193" s="1"/>
      <c r="EA193" s="1"/>
    </row>
    <row r="194" spans="1:131" x14ac:dyDescent="0.3">
      <c r="A194">
        <v>8858818</v>
      </c>
      <c r="B194" s="1" t="s">
        <v>370</v>
      </c>
      <c r="C194" s="1" t="s">
        <v>24</v>
      </c>
      <c r="D194" s="1">
        <v>2020</v>
      </c>
      <c r="E194" s="1">
        <v>6</v>
      </c>
      <c r="F194" s="10">
        <f>Table3[[#This Row],[First season 
with SF]]+Table3[[#This Row],['# Services 
provided]]</f>
        <v>13</v>
      </c>
      <c r="G194" s="26">
        <f>(Table3[[#This Row],[Total Income 
(Race + Price 
sold + Offs - maintenance cost)]]-Table3[[#This Row],[Price 
Bought]])/Table3[[#This Row],[Price 
Bought]]</f>
        <v>-3.010958875</v>
      </c>
      <c r="H194" s="31">
        <f>Table3[[#This Row],[Race 
earnings]]+Table3[[#This Row],[Price 
Sold]]-Table3[[#This Row],[Maintenance cost]]+Table3[[#This Row],[Total 
profit (Income - cost)]]</f>
        <v>-241315.065</v>
      </c>
      <c r="I194" s="3">
        <f>_xlfn.IFNA(VLOOKUP(Table3[[#This Row],[damId]],Sheet1!$A$2:$M$970,5, FALSE), VLOOKUP(Table3[[#This Row],[dam]],Sheet1!$B$2:$M$970,4, FALSE))</f>
        <v>0</v>
      </c>
      <c r="J194" s="3">
        <f>_xlfn.IFNA(VLOOKUP(Table3[[#This Row],[damId]],Sheet1!$A$2:$M$970,13, FALSE), VLOOKUP(Table3[[#This Row],[dam]],Sheet1!$B$2:$M$970,13, FALSE))</f>
        <v>-120000</v>
      </c>
      <c r="K194" s="3">
        <f>_xlfn.IFNA(VLOOKUP(Table3[[#This Row],[damId]],Sheet1!$A$2:$M$970,11, FALSE), VLOOKUP(Table3[[#This Row],[dam]],Sheet1!$B$2:$M$970,11, FALSE))</f>
        <v>120000</v>
      </c>
      <c r="L194" s="3">
        <f>_xlfn.IFNA(VLOOKUP(Table3[[#This Row],[damId]],Sheet1!$A$2:$M$970,12, FALSE), VLOOKUP(Table3[[#This Row],[dam]],Sheet1!$B$2:$M$970,12, FALSE))</f>
        <v>0</v>
      </c>
      <c r="M194" s="3">
        <f>_xlfn.IFNA(VLOOKUP(Table3[[#This Row],[damId]],Sheet1!$A$2:$T$970,20, FALSE), VLOOKUP(Table3[[#This Row],[dam]],Sheet1!$B$2:$T$970,20, FALSE))*Sheet1!$AD$3</f>
        <v>91767.12</v>
      </c>
      <c r="N194" s="3">
        <f>Table3[[#This Row],[Total 
income (Earnings + value - stud fee)]]-Table3[[#This Row],[Maintenance cost ]]</f>
        <v>-149547.94500000001</v>
      </c>
      <c r="O194" s="3">
        <f>SUM(Table3[[#This Row],[income1]:[income12]])</f>
        <v>-108000</v>
      </c>
      <c r="P194" s="3">
        <f>_xlfn.IFNA(VLOOKUP(Table3[[#This Row],[damId]],Sheet1!$A$2:$Y$970,23, FALSE), VLOOKUP(Table3[[#This Row],[dam]],Sheet1!$B$2:$Y$970,23, FALSE))*Sheet1!$AD$3</f>
        <v>41547.945</v>
      </c>
      <c r="Q194" s="3">
        <f>SUM(Table3[[#This Row],[earningsInRaces1]:[earningsInRaces12]])</f>
        <v>0</v>
      </c>
      <c r="R194" s="3">
        <f>SUM(Table3[[#This Row],[auctionPrice1]:[auctionPrice12]])</f>
        <v>227000</v>
      </c>
      <c r="S194" s="3">
        <f>SUM(Table3[[#This Row],[studFeeUSD1]:[studFeeUSD12]])</f>
        <v>-335000</v>
      </c>
      <c r="T194" s="7">
        <f>COUNT(Table3[[#This Row],[successfulService1]:[successfulService12]])</f>
        <v>7</v>
      </c>
      <c r="U194" s="7">
        <f>SUM(Table3[[#This Row],[successfulService1]:[successfulService12]])</f>
        <v>3</v>
      </c>
      <c r="V194" s="7">
        <f>SUM(Table3[[#This Row],[soldInAuction1]:[soldInAuction12]])</f>
        <v>3</v>
      </c>
      <c r="W194" s="7">
        <f>SUM(Table3[[#This Row],[foreignHorse1]:[foreignHorse12]])</f>
        <v>0</v>
      </c>
      <c r="X194" s="3">
        <v>30000</v>
      </c>
      <c r="Y194" s="3">
        <v>-20000</v>
      </c>
      <c r="Z194" s="3">
        <v>130000</v>
      </c>
      <c r="AA194" s="3">
        <v>2000</v>
      </c>
      <c r="AB194" s="3">
        <v>-200000</v>
      </c>
      <c r="AC194" s="3">
        <v>-30000</v>
      </c>
      <c r="AD194" s="3">
        <v>-20000</v>
      </c>
      <c r="AE194" s="3"/>
      <c r="AF194" s="3"/>
      <c r="AG194" s="3"/>
      <c r="AH194" s="3"/>
      <c r="AI194" s="3"/>
      <c r="AJ194" s="3">
        <v>0</v>
      </c>
      <c r="AK194" s="3"/>
      <c r="AL194" s="3">
        <v>0</v>
      </c>
      <c r="AM194" s="3"/>
      <c r="AN194" s="3"/>
      <c r="AO194" s="3"/>
      <c r="AP194" s="3"/>
      <c r="AQ194" s="3"/>
      <c r="AR194" s="3"/>
      <c r="AS194" s="3"/>
      <c r="AT194" s="3"/>
      <c r="AU194" s="3"/>
      <c r="AV194" s="3">
        <v>30000</v>
      </c>
      <c r="AW194" s="3"/>
      <c r="AX194" s="3">
        <v>160000</v>
      </c>
      <c r="AY194" s="3">
        <v>37000</v>
      </c>
      <c r="AZ194" s="3"/>
      <c r="BA194" s="3"/>
      <c r="BB194" s="3"/>
      <c r="BC194" s="3"/>
      <c r="BD194" s="3"/>
      <c r="BE194" s="3"/>
      <c r="BF194" s="3"/>
      <c r="BG194" s="3"/>
      <c r="BH194" s="3">
        <v>0</v>
      </c>
      <c r="BI194" s="3">
        <v>-20000</v>
      </c>
      <c r="BJ194" s="3">
        <v>-30000</v>
      </c>
      <c r="BK194" s="3">
        <v>-35000</v>
      </c>
      <c r="BL194" s="3">
        <v>-200000</v>
      </c>
      <c r="BM194" s="3">
        <v>-30000</v>
      </c>
      <c r="BN194" s="3">
        <v>-20000</v>
      </c>
      <c r="BO194" s="3"/>
      <c r="BP194" s="3"/>
      <c r="BQ194" s="3"/>
      <c r="BR194" s="3"/>
      <c r="BS194" s="3"/>
      <c r="BT194" s="1">
        <v>0</v>
      </c>
      <c r="BU194" s="1"/>
      <c r="BV194" s="1">
        <v>0</v>
      </c>
      <c r="BW194" s="1"/>
      <c r="BX194" s="1"/>
      <c r="BY194" s="1"/>
      <c r="BZ194" s="1"/>
      <c r="CA194" s="1"/>
      <c r="CB194" s="1"/>
      <c r="CC194" s="1"/>
      <c r="CD194" s="1"/>
      <c r="CE194" s="1"/>
      <c r="CF194" s="1">
        <v>1</v>
      </c>
      <c r="CG194" s="1">
        <v>0</v>
      </c>
      <c r="CH194" s="1">
        <v>1</v>
      </c>
      <c r="CI194" s="1">
        <v>1</v>
      </c>
      <c r="CJ194" s="1">
        <v>0</v>
      </c>
      <c r="CK194" s="1">
        <v>0</v>
      </c>
      <c r="CL194" s="1">
        <v>0</v>
      </c>
      <c r="CM194" s="1"/>
      <c r="CN194" s="1"/>
      <c r="CO194" s="1"/>
      <c r="CP194" s="1"/>
      <c r="CQ194" s="1"/>
      <c r="CR194" s="1">
        <v>1</v>
      </c>
      <c r="CS194" s="1">
        <v>0</v>
      </c>
      <c r="CT194" s="1">
        <v>1</v>
      </c>
      <c r="CU194" s="1">
        <v>1</v>
      </c>
      <c r="CV194" s="1">
        <v>0</v>
      </c>
      <c r="CW194" s="1">
        <v>0</v>
      </c>
      <c r="CX194" s="1">
        <v>0</v>
      </c>
      <c r="CY194" s="1"/>
      <c r="CZ194" s="1"/>
      <c r="DA194" s="1"/>
      <c r="DB194" s="1"/>
      <c r="DC194" s="1"/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/>
      <c r="DL194" s="1"/>
      <c r="DM194" s="1"/>
      <c r="DN194" s="1"/>
      <c r="DO194" s="1"/>
      <c r="DP194" s="1">
        <v>6</v>
      </c>
      <c r="DQ194" s="1">
        <v>7</v>
      </c>
      <c r="DR194" s="1">
        <v>8</v>
      </c>
      <c r="DS194" s="1">
        <v>9</v>
      </c>
      <c r="DT194" s="1">
        <v>10</v>
      </c>
      <c r="DU194" s="1">
        <v>10</v>
      </c>
      <c r="DV194" s="1">
        <v>11</v>
      </c>
      <c r="DW194" s="1"/>
      <c r="DX194" s="1"/>
      <c r="DY194" s="1"/>
      <c r="DZ194" s="1"/>
      <c r="EA194" s="1"/>
    </row>
    <row r="195" spans="1:131" x14ac:dyDescent="0.3">
      <c r="A195">
        <v>9276144</v>
      </c>
      <c r="B195" s="1" t="s">
        <v>470</v>
      </c>
      <c r="C195" s="1" t="s">
        <v>139</v>
      </c>
      <c r="D195" s="1">
        <v>2020</v>
      </c>
      <c r="E195" s="1">
        <v>1</v>
      </c>
      <c r="F195" s="10">
        <f>Table3[[#This Row],[First season 
with SF]]+Table3[[#This Row],['# Services 
provided]]</f>
        <v>4</v>
      </c>
      <c r="G195" s="26">
        <f>(Table3[[#This Row],[Total Income 
(Race + Price 
sold + Offs - maintenance cost)]]-Table3[[#This Row],[Price 
Bought]])/Table3[[#This Row],[Price 
Bought]]</f>
        <v>-9.1595023529411651E-2</v>
      </c>
      <c r="H195" s="31">
        <f>Table3[[#This Row],[Race 
earnings]]+Table3[[#This Row],[Price 
Sold]]-Table3[[#This Row],[Maintenance cost]]+Table3[[#This Row],[Total 
profit (Income - cost)]]</f>
        <v>386072.11500000005</v>
      </c>
      <c r="I195" s="3">
        <f>_xlfn.IFNA(VLOOKUP(Table3[[#This Row],[damId]],Sheet1!$A$2:$M$970,5, FALSE), VLOOKUP(Table3[[#This Row],[dam]],Sheet1!$B$2:$M$970,4, FALSE))</f>
        <v>0</v>
      </c>
      <c r="J195" s="3">
        <f>_xlfn.IFNA(VLOOKUP(Table3[[#This Row],[damId]],Sheet1!$A$2:$M$970,13, FALSE), VLOOKUP(Table3[[#This Row],[dam]],Sheet1!$B$2:$M$970,13, FALSE))</f>
        <v>-425000</v>
      </c>
      <c r="K195" s="3">
        <f>_xlfn.IFNA(VLOOKUP(Table3[[#This Row],[damId]],Sheet1!$A$2:$M$970,11, FALSE), VLOOKUP(Table3[[#This Row],[dam]],Sheet1!$B$2:$M$970,11, FALSE))</f>
        <v>425000</v>
      </c>
      <c r="L195" s="3">
        <f>_xlfn.IFNA(VLOOKUP(Table3[[#This Row],[damId]],Sheet1!$A$2:$M$970,12, FALSE), VLOOKUP(Table3[[#This Row],[dam]],Sheet1!$B$2:$M$970,12, FALSE))</f>
        <v>0</v>
      </c>
      <c r="M195" s="3">
        <f>_xlfn.IFNA(VLOOKUP(Table3[[#This Row],[damId]],Sheet1!$A$2:$T$970,20, FALSE), VLOOKUP(Table3[[#This Row],[dam]],Sheet1!$B$2:$T$970,20, FALSE))*Sheet1!$AD$3</f>
        <v>94356.164999999994</v>
      </c>
      <c r="N195" s="3">
        <f>Table3[[#This Row],[Total 
income (Earnings + value - stud fee)]]-Table3[[#This Row],[Maintenance cost ]]</f>
        <v>480428.28</v>
      </c>
      <c r="O195" s="3">
        <f>SUM(Table3[[#This Row],[income1]:[income12]])</f>
        <v>480428.28</v>
      </c>
      <c r="P195" s="3">
        <f>_xlfn.IFNA(VLOOKUP(Table3[[#This Row],[damId]],Sheet1!$A$2:$Y$970,23, FALSE), VLOOKUP(Table3[[#This Row],[dam]],Sheet1!$B$2:$Y$970,23, FALSE))*Sheet1!$AD$3</f>
        <v>0</v>
      </c>
      <c r="Q195" s="3">
        <f>SUM(Table3[[#This Row],[earningsInRaces1]:[earningsInRaces12]])</f>
        <v>0</v>
      </c>
      <c r="R195" s="3">
        <f>SUM(Table3[[#This Row],[auctionPrice1]:[auctionPrice12]])</f>
        <v>515917</v>
      </c>
      <c r="S195" s="3">
        <f>SUM(Table3[[#This Row],[studFeeUSD1]:[studFeeUSD12]])</f>
        <v>-35488.720000000001</v>
      </c>
      <c r="T195" s="7">
        <f>COUNT(Table3[[#This Row],[successfulService1]:[successfulService12]])</f>
        <v>3</v>
      </c>
      <c r="U195" s="7">
        <f>SUM(Table3[[#This Row],[successfulService1]:[successfulService12]])</f>
        <v>2</v>
      </c>
      <c r="V195" s="7">
        <f>SUM(Table3[[#This Row],[soldInAuction1]:[soldInAuction12]])</f>
        <v>2</v>
      </c>
      <c r="W195" s="7">
        <f>SUM(Table3[[#This Row],[foreignHorse1]:[foreignHorse12]])</f>
        <v>1</v>
      </c>
      <c r="X195" s="3">
        <v>433786</v>
      </c>
      <c r="Y195" s="3">
        <v>46642.28</v>
      </c>
      <c r="Z195" s="3">
        <v>0</v>
      </c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>
        <v>433786</v>
      </c>
      <c r="AW195" s="3">
        <v>82131</v>
      </c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>
        <v>-35488.720000000001</v>
      </c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>
        <v>1</v>
      </c>
      <c r="CG195" s="1">
        <v>1</v>
      </c>
      <c r="CH195" s="1">
        <v>0</v>
      </c>
      <c r="CI195" s="1"/>
      <c r="CJ195" s="1"/>
      <c r="CK195" s="1"/>
      <c r="CL195" s="1"/>
      <c r="CM195" s="1"/>
      <c r="CN195" s="1"/>
      <c r="CO195" s="1"/>
      <c r="CP195" s="1"/>
      <c r="CQ195" s="1"/>
      <c r="CR195" s="1">
        <v>1</v>
      </c>
      <c r="CS195" s="1">
        <v>1</v>
      </c>
      <c r="CT195" s="1">
        <v>0</v>
      </c>
      <c r="CU195" s="1"/>
      <c r="CV195" s="1"/>
      <c r="CW195" s="1"/>
      <c r="CX195" s="1"/>
      <c r="CY195" s="1"/>
      <c r="CZ195" s="1"/>
      <c r="DA195" s="1"/>
      <c r="DB195" s="1"/>
      <c r="DC195" s="1"/>
      <c r="DD195" s="1">
        <v>1</v>
      </c>
      <c r="DE195" s="1">
        <v>0</v>
      </c>
      <c r="DF195" s="1">
        <v>0</v>
      </c>
      <c r="DG195" s="1"/>
      <c r="DH195" s="1"/>
      <c r="DI195" s="1"/>
      <c r="DJ195" s="1"/>
      <c r="DK195" s="1"/>
      <c r="DL195" s="1"/>
      <c r="DM195" s="1"/>
      <c r="DN195" s="1"/>
      <c r="DO195" s="1"/>
      <c r="DP195" s="1">
        <v>1</v>
      </c>
      <c r="DQ195" s="1">
        <v>3</v>
      </c>
      <c r="DR195" s="1">
        <v>4</v>
      </c>
      <c r="DS195" s="1"/>
      <c r="DT195" s="1"/>
      <c r="DU195" s="1"/>
      <c r="DV195" s="1"/>
      <c r="DW195" s="1"/>
      <c r="DX195" s="1"/>
      <c r="DY195" s="1"/>
      <c r="DZ195" s="1"/>
      <c r="EA195" s="1"/>
    </row>
    <row r="196" spans="1:131" x14ac:dyDescent="0.3">
      <c r="A196">
        <v>9308495</v>
      </c>
      <c r="B196" s="1" t="s">
        <v>489</v>
      </c>
      <c r="C196" s="1" t="s">
        <v>24</v>
      </c>
      <c r="D196" s="1">
        <v>2020</v>
      </c>
      <c r="E196" s="1">
        <v>2</v>
      </c>
      <c r="F196" s="10">
        <f>Table3[[#This Row],[First season 
with SF]]+Table3[[#This Row],['# Services 
provided]]</f>
        <v>5</v>
      </c>
      <c r="G196" s="26">
        <f>(Table3[[#This Row],[Total Income 
(Race + Price 
sold + Offs - maintenance cost)]]-Table3[[#This Row],[Price 
Bought]])/Table3[[#This Row],[Price 
Bought]]</f>
        <v>3.7956479142857145</v>
      </c>
      <c r="H196" s="31">
        <f>Table3[[#This Row],[Race 
earnings]]+Table3[[#This Row],[Price 
Sold]]-Table3[[#This Row],[Maintenance cost]]+Table3[[#This Row],[Total 
profit (Income - cost)]]</f>
        <v>1678476.77</v>
      </c>
      <c r="I196" s="3">
        <f>_xlfn.IFNA(VLOOKUP(Table3[[#This Row],[damId]],Sheet1!$A$2:$M$970,5, FALSE), VLOOKUP(Table3[[#This Row],[dam]],Sheet1!$B$2:$M$970,4, FALSE))</f>
        <v>0</v>
      </c>
      <c r="J196" s="3">
        <f>_xlfn.IFNA(VLOOKUP(Table3[[#This Row],[damId]],Sheet1!$A$2:$M$970,13, FALSE), VLOOKUP(Table3[[#This Row],[dam]],Sheet1!$B$2:$M$970,13, FALSE))</f>
        <v>-350000</v>
      </c>
      <c r="K196" s="3">
        <f>_xlfn.IFNA(VLOOKUP(Table3[[#This Row],[damId]],Sheet1!$A$2:$M$970,11, FALSE), VLOOKUP(Table3[[#This Row],[dam]],Sheet1!$B$2:$M$970,11, FALSE))</f>
        <v>350000</v>
      </c>
      <c r="L196" s="3">
        <f>_xlfn.IFNA(VLOOKUP(Table3[[#This Row],[damId]],Sheet1!$A$2:$M$970,12, FALSE), VLOOKUP(Table3[[#This Row],[dam]],Sheet1!$B$2:$M$970,12, FALSE))</f>
        <v>0</v>
      </c>
      <c r="M196" s="3">
        <f>_xlfn.IFNA(VLOOKUP(Table3[[#This Row],[damId]],Sheet1!$A$2:$T$970,20, FALSE), VLOOKUP(Table3[[#This Row],[dam]],Sheet1!$B$2:$T$970,20, FALSE))*Sheet1!$AD$3</f>
        <v>79315.064999999988</v>
      </c>
      <c r="N196" s="3">
        <f>Table3[[#This Row],[Total 
income (Earnings + value - stud fee)]]-Table3[[#This Row],[Maintenance cost ]]</f>
        <v>1757791.835</v>
      </c>
      <c r="O196" s="3">
        <f>SUM(Table3[[#This Row],[income1]:[income12]])</f>
        <v>1780148</v>
      </c>
      <c r="P196" s="3">
        <f>_xlfn.IFNA(VLOOKUP(Table3[[#This Row],[damId]],Sheet1!$A$2:$Y$970,23, FALSE), VLOOKUP(Table3[[#This Row],[dam]],Sheet1!$B$2:$Y$970,23, FALSE))*Sheet1!$AD$3</f>
        <v>22356.164999999997</v>
      </c>
      <c r="Q196" s="3">
        <f>SUM(Table3[[#This Row],[earningsInRaces1]:[earningsInRaces12]])</f>
        <v>0</v>
      </c>
      <c r="R196" s="3">
        <f>SUM(Table3[[#This Row],[auctionPrice1]:[auctionPrice12]])</f>
        <v>1780148</v>
      </c>
      <c r="S196" s="3">
        <f>SUM(Table3[[#This Row],[studFeeUSD1]:[studFeeUSD12]])</f>
        <v>0</v>
      </c>
      <c r="T196" s="7">
        <f>COUNT(Table3[[#This Row],[successfulService1]:[successfulService12]])</f>
        <v>3</v>
      </c>
      <c r="U196" s="7">
        <f>SUM(Table3[[#This Row],[successfulService1]:[successfulService12]])</f>
        <v>3</v>
      </c>
      <c r="V196" s="7">
        <f>SUM(Table3[[#This Row],[soldInAuction1]:[soldInAuction12]])</f>
        <v>3</v>
      </c>
      <c r="W196" s="7">
        <f>SUM(Table3[[#This Row],[foreignHorse1]:[foreignHorse12]])</f>
        <v>0</v>
      </c>
      <c r="X196" s="3">
        <v>575000</v>
      </c>
      <c r="Y196" s="3">
        <v>971487</v>
      </c>
      <c r="Z196" s="3">
        <v>233661</v>
      </c>
      <c r="AA196" s="3"/>
      <c r="AB196" s="3"/>
      <c r="AC196" s="3"/>
      <c r="AD196" s="3"/>
      <c r="AE196" s="3"/>
      <c r="AF196" s="3"/>
      <c r="AG196" s="3"/>
      <c r="AH196" s="3"/>
      <c r="AI196" s="3"/>
      <c r="AJ196" s="3">
        <v>0</v>
      </c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>
        <v>575000</v>
      </c>
      <c r="AW196" s="3">
        <v>971487</v>
      </c>
      <c r="AX196" s="3">
        <v>233661</v>
      </c>
      <c r="AY196" s="3"/>
      <c r="AZ196" s="3"/>
      <c r="BA196" s="3"/>
      <c r="BB196" s="3"/>
      <c r="BC196" s="3"/>
      <c r="BD196" s="3"/>
      <c r="BE196" s="3"/>
      <c r="BF196" s="3"/>
      <c r="BG196" s="3"/>
      <c r="BH196" s="3">
        <v>0</v>
      </c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1">
        <v>0</v>
      </c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>
        <v>1</v>
      </c>
      <c r="CG196" s="1">
        <v>1</v>
      </c>
      <c r="CH196" s="1">
        <v>1</v>
      </c>
      <c r="CI196" s="1"/>
      <c r="CJ196" s="1"/>
      <c r="CK196" s="1"/>
      <c r="CL196" s="1"/>
      <c r="CM196" s="1"/>
      <c r="CN196" s="1"/>
      <c r="CO196" s="1"/>
      <c r="CP196" s="1"/>
      <c r="CQ196" s="1"/>
      <c r="CR196" s="1">
        <v>1</v>
      </c>
      <c r="CS196" s="1">
        <v>1</v>
      </c>
      <c r="CT196" s="1">
        <v>1</v>
      </c>
      <c r="CU196" s="1"/>
      <c r="CV196" s="1"/>
      <c r="CW196" s="1"/>
      <c r="CX196" s="1"/>
      <c r="CY196" s="1"/>
      <c r="CZ196" s="1"/>
      <c r="DA196" s="1"/>
      <c r="DB196" s="1"/>
      <c r="DC196" s="1"/>
      <c r="DD196" s="1">
        <v>0</v>
      </c>
      <c r="DE196" s="1">
        <v>0</v>
      </c>
      <c r="DF196" s="1">
        <v>0</v>
      </c>
      <c r="DG196" s="1"/>
      <c r="DH196" s="1"/>
      <c r="DI196" s="1"/>
      <c r="DJ196" s="1"/>
      <c r="DK196" s="1"/>
      <c r="DL196" s="1"/>
      <c r="DM196" s="1"/>
      <c r="DN196" s="1"/>
      <c r="DO196" s="1"/>
      <c r="DP196" s="1">
        <v>2</v>
      </c>
      <c r="DQ196" s="1">
        <v>4</v>
      </c>
      <c r="DR196" s="1">
        <v>5</v>
      </c>
      <c r="DS196" s="1"/>
      <c r="DT196" s="1"/>
      <c r="DU196" s="1"/>
      <c r="DV196" s="1"/>
      <c r="DW196" s="1"/>
      <c r="DX196" s="1"/>
      <c r="DY196" s="1"/>
      <c r="DZ196" s="1"/>
      <c r="EA196" s="1"/>
    </row>
    <row r="197" spans="1:131" x14ac:dyDescent="0.3">
      <c r="A197">
        <v>9491672</v>
      </c>
      <c r="B197" s="1" t="s">
        <v>565</v>
      </c>
      <c r="C197" s="1" t="s">
        <v>139</v>
      </c>
      <c r="D197" s="1">
        <v>2020</v>
      </c>
      <c r="E197" s="1">
        <v>1</v>
      </c>
      <c r="F197" s="10">
        <f>Table3[[#This Row],[First season 
with SF]]+Table3[[#This Row],['# Services 
provided]]</f>
        <v>3</v>
      </c>
      <c r="G197" s="26">
        <f>(Table3[[#This Row],[Total Income 
(Race + Price 
sold + Offs - maintenance cost)]]-Table3[[#This Row],[Price 
Bought]])/Table3[[#This Row],[Price 
Bought]]</f>
        <v>0.3578113176470587</v>
      </c>
      <c r="H197" s="31">
        <f>Table3[[#This Row],[Race 
earnings]]+Table3[[#This Row],[Price 
Sold]]-Table3[[#This Row],[Maintenance cost]]+Table3[[#This Row],[Total 
profit (Income - cost)]]</f>
        <v>577069.80999999994</v>
      </c>
      <c r="I197" s="3">
        <f>_xlfn.IFNA(VLOOKUP(Table3[[#This Row],[damId]],Sheet1!$A$2:$M$970,5, FALSE), VLOOKUP(Table3[[#This Row],[dam]],Sheet1!$B$2:$M$970,4, FALSE))</f>
        <v>0</v>
      </c>
      <c r="J197" s="3">
        <f>_xlfn.IFNA(VLOOKUP(Table3[[#This Row],[damId]],Sheet1!$A$2:$M$970,13, FALSE), VLOOKUP(Table3[[#This Row],[dam]],Sheet1!$B$2:$M$970,13, FALSE))</f>
        <v>194354</v>
      </c>
      <c r="K197" s="3">
        <f>_xlfn.IFNA(VLOOKUP(Table3[[#This Row],[damId]],Sheet1!$A$2:$M$970,11, FALSE), VLOOKUP(Table3[[#This Row],[dam]],Sheet1!$B$2:$M$970,11, FALSE))</f>
        <v>425000</v>
      </c>
      <c r="L197" s="3">
        <f>_xlfn.IFNA(VLOOKUP(Table3[[#This Row],[damId]],Sheet1!$A$2:$M$970,12, FALSE), VLOOKUP(Table3[[#This Row],[dam]],Sheet1!$B$2:$M$970,12, FALSE))</f>
        <v>619354</v>
      </c>
      <c r="M197" s="3">
        <f>_xlfn.IFNA(VLOOKUP(Table3[[#This Row],[damId]],Sheet1!$A$2:$T$970,20, FALSE), VLOOKUP(Table3[[#This Row],[dam]],Sheet1!$B$2:$T$970,20, FALSE))*Sheet1!$AD$3</f>
        <v>38383.56</v>
      </c>
      <c r="N197" s="3">
        <f>Table3[[#This Row],[Total 
income (Earnings + value - stud fee)]]-Table3[[#This Row],[Maintenance cost ]]</f>
        <v>-3900.6300000000047</v>
      </c>
      <c r="O197" s="3">
        <f>SUM(Table3[[#This Row],[income1]:[income12]])</f>
        <v>-3900.6300000000047</v>
      </c>
      <c r="P197" s="3">
        <f>_xlfn.IFNA(VLOOKUP(Table3[[#This Row],[damId]],Sheet1!$A$2:$Y$970,23, FALSE), VLOOKUP(Table3[[#This Row],[dam]],Sheet1!$B$2:$Y$970,23, FALSE))*Sheet1!$AD$3</f>
        <v>0</v>
      </c>
      <c r="Q197" s="3">
        <f>SUM(Table3[[#This Row],[earningsInRaces1]:[earningsInRaces12]])</f>
        <v>0</v>
      </c>
      <c r="R197" s="3">
        <f>SUM(Table3[[#This Row],[auctionPrice1]:[auctionPrice12]])</f>
        <v>106888</v>
      </c>
      <c r="S197" s="3">
        <f>SUM(Table3[[#This Row],[studFeeUSD1]:[studFeeUSD12]])</f>
        <v>-110788.63</v>
      </c>
      <c r="T197" s="7">
        <f>COUNT(Table3[[#This Row],[successfulService1]:[successfulService12]])</f>
        <v>2</v>
      </c>
      <c r="U197" s="7">
        <f>SUM(Table3[[#This Row],[successfulService1]:[successfulService12]])</f>
        <v>2</v>
      </c>
      <c r="V197" s="7">
        <f>SUM(Table3[[#This Row],[soldInAuction1]:[soldInAuction12]])</f>
        <v>1</v>
      </c>
      <c r="W197" s="7">
        <f>SUM(Table3[[#This Row],[foreignHorse1]:[foreignHorse12]])</f>
        <v>2</v>
      </c>
      <c r="X197" s="3">
        <v>49332.45</v>
      </c>
      <c r="Y197" s="3">
        <v>-53233.08</v>
      </c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>
        <v>106888</v>
      </c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>
        <v>-57555.55</v>
      </c>
      <c r="BI197" s="3">
        <v>-53233.08</v>
      </c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>
        <v>1</v>
      </c>
      <c r="CG197" s="1">
        <v>1</v>
      </c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>
        <v>1</v>
      </c>
      <c r="CS197" s="1">
        <v>0</v>
      </c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>
        <v>1</v>
      </c>
      <c r="DE197" s="1">
        <v>1</v>
      </c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>
        <v>1</v>
      </c>
      <c r="DQ197" s="1">
        <v>2</v>
      </c>
      <c r="DR197" s="1"/>
      <c r="DS197" s="1"/>
      <c r="DT197" s="1"/>
      <c r="DU197" s="1"/>
      <c r="DV197" s="1"/>
      <c r="DW197" s="1"/>
      <c r="DX197" s="1"/>
      <c r="DY197" s="1"/>
      <c r="DZ197" s="1"/>
      <c r="EA197" s="1"/>
    </row>
    <row r="198" spans="1:131" x14ac:dyDescent="0.3">
      <c r="A198">
        <v>9493432</v>
      </c>
      <c r="B198" s="1" t="s">
        <v>572</v>
      </c>
      <c r="C198" s="1" t="s">
        <v>24</v>
      </c>
      <c r="D198" s="1">
        <v>2020</v>
      </c>
      <c r="E198" s="1">
        <v>3</v>
      </c>
      <c r="F198" s="10">
        <f>Table3[[#This Row],[First season 
with SF]]+Table3[[#This Row],['# Services 
provided]]</f>
        <v>6</v>
      </c>
      <c r="G198" s="26">
        <f>(Table3[[#This Row],[Total Income 
(Race + Price 
sold + Offs - maintenance cost)]]-Table3[[#This Row],[Price 
Bought]])/Table3[[#This Row],[Price 
Bought]]</f>
        <v>-0.62208957499999995</v>
      </c>
      <c r="H198" s="31">
        <f>Table3[[#This Row],[Race 
earnings]]+Table3[[#This Row],[Price 
Sold]]-Table3[[#This Row],[Maintenance cost]]+Table3[[#This Row],[Total 
profit (Income - cost)]]</f>
        <v>30232.834000000003</v>
      </c>
      <c r="I198" s="3">
        <f>_xlfn.IFNA(VLOOKUP(Table3[[#This Row],[damId]],Sheet1!$A$2:$M$970,5, FALSE), VLOOKUP(Table3[[#This Row],[dam]],Sheet1!$B$2:$M$970,4, FALSE))</f>
        <v>0</v>
      </c>
      <c r="J198" s="3">
        <f>_xlfn.IFNA(VLOOKUP(Table3[[#This Row],[damId]],Sheet1!$A$2:$M$970,13, FALSE), VLOOKUP(Table3[[#This Row],[dam]],Sheet1!$B$2:$M$970,13, FALSE))</f>
        <v>-46302</v>
      </c>
      <c r="K198" s="3">
        <f>_xlfn.IFNA(VLOOKUP(Table3[[#This Row],[damId]],Sheet1!$A$2:$M$970,11, FALSE), VLOOKUP(Table3[[#This Row],[dam]],Sheet1!$B$2:$M$970,11, FALSE))</f>
        <v>80000</v>
      </c>
      <c r="L198" s="3">
        <f>_xlfn.IFNA(VLOOKUP(Table3[[#This Row],[damId]],Sheet1!$A$2:$M$970,12, FALSE), VLOOKUP(Table3[[#This Row],[dam]],Sheet1!$B$2:$M$970,12, FALSE))</f>
        <v>33698</v>
      </c>
      <c r="M198" s="3">
        <f>_xlfn.IFNA(VLOOKUP(Table3[[#This Row],[damId]],Sheet1!$A$2:$T$970,20, FALSE), VLOOKUP(Table3[[#This Row],[dam]],Sheet1!$B$2:$T$970,20, FALSE))*Sheet1!$AD$3</f>
        <v>46232.88</v>
      </c>
      <c r="N198" s="3">
        <f>Table3[[#This Row],[Total 
income (Earnings + value - stud fee)]]-Table3[[#This Row],[Maintenance cost ]]</f>
        <v>42767.714</v>
      </c>
      <c r="O198" s="3">
        <f>SUM(Table3[[#This Row],[income1]:[income12]])</f>
        <v>67219.769</v>
      </c>
      <c r="P198" s="3">
        <f>_xlfn.IFNA(VLOOKUP(Table3[[#This Row],[damId]],Sheet1!$A$2:$Y$970,23, FALSE), VLOOKUP(Table3[[#This Row],[dam]],Sheet1!$B$2:$Y$970,23, FALSE))*Sheet1!$AD$3</f>
        <v>24452.055</v>
      </c>
      <c r="Q198" s="3">
        <f>SUM(Table3[[#This Row],[earningsInRaces1]:[earningsInRaces12]])</f>
        <v>0</v>
      </c>
      <c r="R198" s="3">
        <f>SUM(Table3[[#This Row],[auctionPrice1]:[auctionPrice12]])</f>
        <v>100966</v>
      </c>
      <c r="S198" s="3">
        <f>SUM(Table3[[#This Row],[studFeeUSD1]:[studFeeUSD12]])</f>
        <v>-33746.229999999996</v>
      </c>
      <c r="T198" s="7">
        <f>COUNT(Table3[[#This Row],[successfulService1]:[successfulService12]])</f>
        <v>3</v>
      </c>
      <c r="U198" s="7">
        <f>SUM(Table3[[#This Row],[successfulService1]:[successfulService12]])</f>
        <v>3</v>
      </c>
      <c r="V198" s="7">
        <f>SUM(Table3[[#This Row],[soldInAuction1]:[soldInAuction12]])</f>
        <v>3</v>
      </c>
      <c r="W198" s="7">
        <f>SUM(Table3[[#This Row],[foreignHorse1]:[foreignHorse12]])</f>
        <v>3</v>
      </c>
      <c r="X198" s="3">
        <v>35862</v>
      </c>
      <c r="Y198" s="3">
        <v>4200.7290000000003</v>
      </c>
      <c r="Z198" s="3">
        <v>27157.040000000001</v>
      </c>
      <c r="AA198" s="3"/>
      <c r="AB198" s="3"/>
      <c r="AC198" s="3"/>
      <c r="AD198" s="3"/>
      <c r="AE198" s="3"/>
      <c r="AF198" s="3"/>
      <c r="AG198" s="3"/>
      <c r="AH198" s="3"/>
      <c r="AI198" s="3"/>
      <c r="AJ198" s="3">
        <v>0</v>
      </c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>
        <v>35862</v>
      </c>
      <c r="AW198" s="3">
        <v>17509</v>
      </c>
      <c r="AX198" s="3">
        <v>47595</v>
      </c>
      <c r="AY198" s="3"/>
      <c r="AZ198" s="3"/>
      <c r="BA198" s="3"/>
      <c r="BB198" s="3"/>
      <c r="BC198" s="3"/>
      <c r="BD198" s="3"/>
      <c r="BE198" s="3"/>
      <c r="BF198" s="3"/>
      <c r="BG198" s="3"/>
      <c r="BH198" s="3">
        <v>0</v>
      </c>
      <c r="BI198" s="3">
        <v>-13308.27</v>
      </c>
      <c r="BJ198" s="3">
        <v>-20437.96</v>
      </c>
      <c r="BK198" s="3"/>
      <c r="BL198" s="3"/>
      <c r="BM198" s="3"/>
      <c r="BN198" s="3"/>
      <c r="BO198" s="3"/>
      <c r="BP198" s="3"/>
      <c r="BQ198" s="3"/>
      <c r="BR198" s="3"/>
      <c r="BS198" s="3"/>
      <c r="BT198" s="1">
        <v>0</v>
      </c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>
        <v>1</v>
      </c>
      <c r="CG198" s="1">
        <v>1</v>
      </c>
      <c r="CH198" s="1">
        <v>1</v>
      </c>
      <c r="CI198" s="1"/>
      <c r="CJ198" s="1"/>
      <c r="CK198" s="1"/>
      <c r="CL198" s="1"/>
      <c r="CM198" s="1"/>
      <c r="CN198" s="1"/>
      <c r="CO198" s="1"/>
      <c r="CP198" s="1"/>
      <c r="CQ198" s="1"/>
      <c r="CR198" s="1">
        <v>1</v>
      </c>
      <c r="CS198" s="1">
        <v>1</v>
      </c>
      <c r="CT198" s="1">
        <v>1</v>
      </c>
      <c r="CU198" s="1"/>
      <c r="CV198" s="1"/>
      <c r="CW198" s="1"/>
      <c r="CX198" s="1"/>
      <c r="CY198" s="1"/>
      <c r="CZ198" s="1"/>
      <c r="DA198" s="1"/>
      <c r="DB198" s="1"/>
      <c r="DC198" s="1"/>
      <c r="DD198" s="1">
        <v>1</v>
      </c>
      <c r="DE198" s="1">
        <v>1</v>
      </c>
      <c r="DF198" s="1">
        <v>1</v>
      </c>
      <c r="DG198" s="1"/>
      <c r="DH198" s="1"/>
      <c r="DI198" s="1"/>
      <c r="DJ198" s="1"/>
      <c r="DK198" s="1"/>
      <c r="DL198" s="1"/>
      <c r="DM198" s="1"/>
      <c r="DN198" s="1"/>
      <c r="DO198" s="1"/>
      <c r="DP198" s="1">
        <v>3</v>
      </c>
      <c r="DQ198" s="1">
        <v>4</v>
      </c>
      <c r="DR198" s="1">
        <v>5</v>
      </c>
      <c r="DS198" s="1"/>
      <c r="DT198" s="1"/>
      <c r="DU198" s="1"/>
      <c r="DV198" s="1"/>
      <c r="DW198" s="1"/>
      <c r="DX198" s="1"/>
      <c r="DY198" s="1"/>
      <c r="DZ198" s="1"/>
      <c r="EA198" s="1"/>
    </row>
    <row r="199" spans="1:131" x14ac:dyDescent="0.3">
      <c r="A199">
        <v>9497666</v>
      </c>
      <c r="B199" s="1" t="s">
        <v>579</v>
      </c>
      <c r="C199" s="1" t="s">
        <v>24</v>
      </c>
      <c r="D199" s="1">
        <v>2020</v>
      </c>
      <c r="E199" s="1">
        <v>1</v>
      </c>
      <c r="F199" s="10">
        <f>Table3[[#This Row],[First season 
with SF]]+Table3[[#This Row],['# Services 
provided]]</f>
        <v>4</v>
      </c>
      <c r="G199" s="26">
        <f>(Table3[[#This Row],[Total Income 
(Race + Price 
sold + Offs - maintenance cost)]]-Table3[[#This Row],[Price 
Bought]])/Table3[[#This Row],[Price 
Bought]]</f>
        <v>-1.8904736428571429</v>
      </c>
      <c r="H199" s="31">
        <f>Table3[[#This Row],[Race 
earnings]]+Table3[[#This Row],[Price 
Sold]]-Table3[[#This Row],[Maintenance cost]]+Table3[[#This Row],[Total 
profit (Income - cost)]]</f>
        <v>-62333.154999999992</v>
      </c>
      <c r="I199" s="3">
        <f>_xlfn.IFNA(VLOOKUP(Table3[[#This Row],[damId]],Sheet1!$A$2:$M$970,5, FALSE), VLOOKUP(Table3[[#This Row],[dam]],Sheet1!$B$2:$M$970,4, FALSE))</f>
        <v>0</v>
      </c>
      <c r="J199" s="3">
        <f>_xlfn.IFNA(VLOOKUP(Table3[[#This Row],[damId]],Sheet1!$A$2:$M$970,13, FALSE), VLOOKUP(Table3[[#This Row],[dam]],Sheet1!$B$2:$M$970,13, FALSE))</f>
        <v>-58000</v>
      </c>
      <c r="K199" s="3">
        <f>_xlfn.IFNA(VLOOKUP(Table3[[#This Row],[damId]],Sheet1!$A$2:$M$970,11, FALSE), VLOOKUP(Table3[[#This Row],[dam]],Sheet1!$B$2:$M$970,11, FALSE))</f>
        <v>70000</v>
      </c>
      <c r="L199" s="3">
        <f>_xlfn.IFNA(VLOOKUP(Table3[[#This Row],[damId]],Sheet1!$A$2:$M$970,12, FALSE), VLOOKUP(Table3[[#This Row],[dam]],Sheet1!$B$2:$M$970,12, FALSE))</f>
        <v>12000</v>
      </c>
      <c r="M199" s="3">
        <f>_xlfn.IFNA(VLOOKUP(Table3[[#This Row],[damId]],Sheet1!$A$2:$T$970,20, FALSE), VLOOKUP(Table3[[#This Row],[dam]],Sheet1!$B$2:$T$970,20, FALSE))*Sheet1!$AD$3</f>
        <v>32630.144999999997</v>
      </c>
      <c r="N199" s="3">
        <f>Table3[[#This Row],[Total 
income (Earnings + value - stud fee)]]-Table3[[#This Row],[Maintenance cost ]]</f>
        <v>-41703.009999999995</v>
      </c>
      <c r="O199" s="3">
        <f>SUM(Table3[[#This Row],[income1]:[income12]])</f>
        <v>52160</v>
      </c>
      <c r="P199" s="3">
        <f>_xlfn.IFNA(VLOOKUP(Table3[[#This Row],[damId]],Sheet1!$A$2:$Y$970,23, FALSE), VLOOKUP(Table3[[#This Row],[dam]],Sheet1!$B$2:$Y$970,23, FALSE))*Sheet1!$AD$3</f>
        <v>93863.01</v>
      </c>
      <c r="Q199" s="3">
        <f>SUM(Table3[[#This Row],[earningsInRaces1]:[earningsInRaces12]])</f>
        <v>17160</v>
      </c>
      <c r="R199" s="3">
        <f>SUM(Table3[[#This Row],[auctionPrice1]:[auctionPrice12]])</f>
        <v>85000</v>
      </c>
      <c r="S199" s="3">
        <f>SUM(Table3[[#This Row],[studFeeUSD1]:[studFeeUSD12]])</f>
        <v>-50000</v>
      </c>
      <c r="T199" s="7">
        <f>COUNT(Table3[[#This Row],[successfulService1]:[successfulService12]])</f>
        <v>3</v>
      </c>
      <c r="U199" s="7">
        <f>SUM(Table3[[#This Row],[successfulService1]:[successfulService12]])</f>
        <v>3</v>
      </c>
      <c r="V199" s="7">
        <f>SUM(Table3[[#This Row],[soldInAuction1]:[soldInAuction12]])</f>
        <v>1</v>
      </c>
      <c r="W199" s="7">
        <f>SUM(Table3[[#This Row],[foreignHorse1]:[foreignHorse12]])</f>
        <v>0</v>
      </c>
      <c r="X199" s="3">
        <v>17160</v>
      </c>
      <c r="Y199" s="3">
        <v>50000</v>
      </c>
      <c r="Z199" s="3">
        <v>-15000</v>
      </c>
      <c r="AA199" s="3"/>
      <c r="AB199" s="3"/>
      <c r="AC199" s="3"/>
      <c r="AD199" s="3"/>
      <c r="AE199" s="3"/>
      <c r="AF199" s="3"/>
      <c r="AG199" s="3"/>
      <c r="AH199" s="3"/>
      <c r="AI199" s="3"/>
      <c r="AJ199" s="3">
        <v>17160</v>
      </c>
      <c r="AK199" s="3">
        <v>0</v>
      </c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>
        <v>85000</v>
      </c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>
        <v>0</v>
      </c>
      <c r="BI199" s="3">
        <v>-35000</v>
      </c>
      <c r="BJ199" s="3">
        <v>-15000</v>
      </c>
      <c r="BK199" s="3"/>
      <c r="BL199" s="3"/>
      <c r="BM199" s="3"/>
      <c r="BN199" s="3"/>
      <c r="BO199" s="3"/>
      <c r="BP199" s="3"/>
      <c r="BQ199" s="3"/>
      <c r="BR199" s="3"/>
      <c r="BS199" s="3"/>
      <c r="BT199" s="1">
        <v>1</v>
      </c>
      <c r="BU199" s="1">
        <v>0</v>
      </c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>
        <v>1</v>
      </c>
      <c r="CG199" s="1">
        <v>1</v>
      </c>
      <c r="CH199" s="1">
        <v>1</v>
      </c>
      <c r="CI199" s="1"/>
      <c r="CJ199" s="1"/>
      <c r="CK199" s="1"/>
      <c r="CL199" s="1"/>
      <c r="CM199" s="1"/>
      <c r="CN199" s="1"/>
      <c r="CO199" s="1"/>
      <c r="CP199" s="1"/>
      <c r="CQ199" s="1"/>
      <c r="CR199" s="1">
        <v>0</v>
      </c>
      <c r="CS199" s="1">
        <v>1</v>
      </c>
      <c r="CT199" s="1">
        <v>0</v>
      </c>
      <c r="CU199" s="1"/>
      <c r="CV199" s="1"/>
      <c r="CW199" s="1"/>
      <c r="CX199" s="1"/>
      <c r="CY199" s="1"/>
      <c r="CZ199" s="1"/>
      <c r="DA199" s="1"/>
      <c r="DB199" s="1"/>
      <c r="DC199" s="1"/>
      <c r="DD199" s="1">
        <v>0</v>
      </c>
      <c r="DE199" s="1">
        <v>0</v>
      </c>
      <c r="DF199" s="1">
        <v>0</v>
      </c>
      <c r="DG199" s="1"/>
      <c r="DH199" s="1"/>
      <c r="DI199" s="1"/>
      <c r="DJ199" s="1"/>
      <c r="DK199" s="1"/>
      <c r="DL199" s="1"/>
      <c r="DM199" s="1"/>
      <c r="DN199" s="1"/>
      <c r="DO199" s="1"/>
      <c r="DP199" s="1">
        <v>1</v>
      </c>
      <c r="DQ199" s="1">
        <v>2</v>
      </c>
      <c r="DR199" s="1">
        <v>3</v>
      </c>
      <c r="DS199" s="1"/>
      <c r="DT199" s="1"/>
      <c r="DU199" s="1"/>
      <c r="DV199" s="1"/>
      <c r="DW199" s="1"/>
      <c r="DX199" s="1"/>
      <c r="DY199" s="1"/>
      <c r="DZ199" s="1"/>
      <c r="EA199" s="1"/>
    </row>
    <row r="200" spans="1:131" x14ac:dyDescent="0.3">
      <c r="A200">
        <v>9612869</v>
      </c>
      <c r="B200" s="1" t="s">
        <v>613</v>
      </c>
      <c r="C200" s="1" t="s">
        <v>24</v>
      </c>
      <c r="D200" s="1">
        <v>2020</v>
      </c>
      <c r="E200" s="1">
        <v>1</v>
      </c>
      <c r="F200" s="10">
        <f>Table3[[#This Row],[First season 
with SF]]+Table3[[#This Row],['# Services 
provided]]</f>
        <v>2</v>
      </c>
      <c r="G200" s="26">
        <f>(Table3[[#This Row],[Total Income 
(Race + Price 
sold + Offs - maintenance cost)]]-Table3[[#This Row],[Price 
Bought]])/Table3[[#This Row],[Price 
Bought]]</f>
        <v>-9.7657368421052604E-2</v>
      </c>
      <c r="H200" s="31">
        <f>Table3[[#This Row],[Race 
earnings]]+Table3[[#This Row],[Price 
Sold]]-Table3[[#This Row],[Maintenance cost]]+Table3[[#This Row],[Total 
profit (Income - cost)]]</f>
        <v>85722.55</v>
      </c>
      <c r="I200" s="3">
        <f>_xlfn.IFNA(VLOOKUP(Table3[[#This Row],[damId]],Sheet1!$A$2:$M$970,5, FALSE), VLOOKUP(Table3[[#This Row],[dam]],Sheet1!$B$2:$M$970,4, FALSE))</f>
        <v>0</v>
      </c>
      <c r="J200" s="3">
        <f>_xlfn.IFNA(VLOOKUP(Table3[[#This Row],[damId]],Sheet1!$A$2:$M$970,13, FALSE), VLOOKUP(Table3[[#This Row],[dam]],Sheet1!$B$2:$M$970,13, FALSE))</f>
        <v>-58798</v>
      </c>
      <c r="K200" s="3">
        <f>_xlfn.IFNA(VLOOKUP(Table3[[#This Row],[damId]],Sheet1!$A$2:$M$970,11, FALSE), VLOOKUP(Table3[[#This Row],[dam]],Sheet1!$B$2:$M$970,11, FALSE))</f>
        <v>95000</v>
      </c>
      <c r="L200" s="3">
        <f>_xlfn.IFNA(VLOOKUP(Table3[[#This Row],[damId]],Sheet1!$A$2:$M$970,12, FALSE), VLOOKUP(Table3[[#This Row],[dam]],Sheet1!$B$2:$M$970,12, FALSE))</f>
        <v>36202</v>
      </c>
      <c r="M200" s="3">
        <f>_xlfn.IFNA(VLOOKUP(Table3[[#This Row],[damId]],Sheet1!$A$2:$T$970,20, FALSE), VLOOKUP(Table3[[#This Row],[dam]],Sheet1!$B$2:$T$970,20, FALSE))*Sheet1!$AD$3</f>
        <v>31068.494999999999</v>
      </c>
      <c r="N200" s="3">
        <f>Table3[[#This Row],[Total 
income (Earnings + value - stud fee)]]-Table3[[#This Row],[Maintenance cost ]]</f>
        <v>80589.044999999998</v>
      </c>
      <c r="O200" s="3">
        <f>SUM(Table3[[#This Row],[income1]:[income12]])</f>
        <v>105000</v>
      </c>
      <c r="P200" s="3">
        <f>_xlfn.IFNA(VLOOKUP(Table3[[#This Row],[damId]],Sheet1!$A$2:$Y$970,23, FALSE), VLOOKUP(Table3[[#This Row],[dam]],Sheet1!$B$2:$Y$970,23, FALSE))*Sheet1!$AD$3</f>
        <v>24410.954999999998</v>
      </c>
      <c r="Q200" s="3">
        <f>SUM(Table3[[#This Row],[earningsInRaces1]:[earningsInRaces12]])</f>
        <v>0</v>
      </c>
      <c r="R200" s="3">
        <f>SUM(Table3[[#This Row],[auctionPrice1]:[auctionPrice12]])</f>
        <v>105000</v>
      </c>
      <c r="S200" s="3">
        <f>SUM(Table3[[#This Row],[studFeeUSD1]:[studFeeUSD12]])</f>
        <v>0</v>
      </c>
      <c r="T200" s="7">
        <f>COUNT(Table3[[#This Row],[successfulService1]:[successfulService12]])</f>
        <v>1</v>
      </c>
      <c r="U200" s="7">
        <f>SUM(Table3[[#This Row],[successfulService1]:[successfulService12]])</f>
        <v>1</v>
      </c>
      <c r="V200" s="7">
        <f>SUM(Table3[[#This Row],[soldInAuction1]:[soldInAuction12]])</f>
        <v>1</v>
      </c>
      <c r="W200" s="7">
        <f>SUM(Table3[[#This Row],[foreignHorse1]:[foreignHorse12]])</f>
        <v>1</v>
      </c>
      <c r="X200" s="3">
        <v>105000</v>
      </c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>
        <v>0</v>
      </c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>
        <v>105000</v>
      </c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>
        <v>0</v>
      </c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1">
        <v>0</v>
      </c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>
        <v>1</v>
      </c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>
        <v>1</v>
      </c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>
        <v>1</v>
      </c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>
        <v>1</v>
      </c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</row>
    <row r="201" spans="1:131" x14ac:dyDescent="0.3">
      <c r="A201">
        <v>9671985</v>
      </c>
      <c r="B201" s="1" t="s">
        <v>640</v>
      </c>
      <c r="C201" s="1" t="s">
        <v>139</v>
      </c>
      <c r="D201" s="1">
        <v>2020</v>
      </c>
      <c r="E201" s="1">
        <v>1</v>
      </c>
      <c r="F201" s="10">
        <f>Table3[[#This Row],[First season 
with SF]]+Table3[[#This Row],['# Services 
provided]]</f>
        <v>5</v>
      </c>
      <c r="G201" s="26">
        <f>(Table3[[#This Row],[Total Income 
(Race + Price 
sold + Offs - maintenance cost)]]-Table3[[#This Row],[Price 
Bought]])/Table3[[#This Row],[Price 
Bought]]</f>
        <v>0.29039252000000004</v>
      </c>
      <c r="H201" s="31">
        <f>Table3[[#This Row],[Race 
earnings]]+Table3[[#This Row],[Price 
Sold]]-Table3[[#This Row],[Maintenance cost]]+Table3[[#This Row],[Total 
profit (Income - cost)]]</f>
        <v>161299.065</v>
      </c>
      <c r="I201" s="3">
        <f>_xlfn.IFNA(VLOOKUP(Table3[[#This Row],[damId]],Sheet1!$A$2:$M$970,5, FALSE), VLOOKUP(Table3[[#This Row],[dam]],Sheet1!$B$2:$M$970,4, FALSE))</f>
        <v>0</v>
      </c>
      <c r="J201" s="3">
        <f>_xlfn.IFNA(VLOOKUP(Table3[[#This Row],[damId]],Sheet1!$A$2:$M$970,13, FALSE), VLOOKUP(Table3[[#This Row],[dam]],Sheet1!$B$2:$M$970,13, FALSE))</f>
        <v>-125000</v>
      </c>
      <c r="K201" s="3">
        <f>_xlfn.IFNA(VLOOKUP(Table3[[#This Row],[damId]],Sheet1!$A$2:$M$970,11, FALSE), VLOOKUP(Table3[[#This Row],[dam]],Sheet1!$B$2:$M$970,11, FALSE))</f>
        <v>125000</v>
      </c>
      <c r="L201" s="3">
        <f>_xlfn.IFNA(VLOOKUP(Table3[[#This Row],[damId]],Sheet1!$A$2:$M$970,12, FALSE), VLOOKUP(Table3[[#This Row],[dam]],Sheet1!$B$2:$M$970,12, FALSE))</f>
        <v>0</v>
      </c>
      <c r="M201" s="3">
        <f>_xlfn.IFNA(VLOOKUP(Table3[[#This Row],[damId]],Sheet1!$A$2:$T$970,20, FALSE), VLOOKUP(Table3[[#This Row],[dam]],Sheet1!$B$2:$T$970,20, FALSE))*Sheet1!$AD$3</f>
        <v>91684.934999999998</v>
      </c>
      <c r="N201" s="3">
        <f>Table3[[#This Row],[Total 
income (Earnings + value - stud fee)]]-Table3[[#This Row],[Maintenance cost ]]</f>
        <v>252984</v>
      </c>
      <c r="O201" s="3">
        <f>SUM(Table3[[#This Row],[income1]:[income12]])</f>
        <v>252984</v>
      </c>
      <c r="P201" s="3">
        <f>_xlfn.IFNA(VLOOKUP(Table3[[#This Row],[damId]],Sheet1!$A$2:$Y$970,23, FALSE), VLOOKUP(Table3[[#This Row],[dam]],Sheet1!$B$2:$Y$970,23, FALSE))*Sheet1!$AD$3</f>
        <v>0</v>
      </c>
      <c r="Q201" s="3">
        <f>SUM(Table3[[#This Row],[earningsInRaces1]:[earningsInRaces12]])</f>
        <v>0</v>
      </c>
      <c r="R201" s="3">
        <f>SUM(Table3[[#This Row],[auctionPrice1]:[auctionPrice12]])</f>
        <v>252984</v>
      </c>
      <c r="S201" s="3">
        <f>SUM(Table3[[#This Row],[studFeeUSD1]:[studFeeUSD12]])</f>
        <v>0</v>
      </c>
      <c r="T201" s="7">
        <f>COUNT(Table3[[#This Row],[successfulService1]:[successfulService12]])</f>
        <v>4</v>
      </c>
      <c r="U201" s="7">
        <f>SUM(Table3[[#This Row],[successfulService1]:[successfulService12]])</f>
        <v>4</v>
      </c>
      <c r="V201" s="7">
        <f>SUM(Table3[[#This Row],[soldInAuction1]:[soldInAuction12]])</f>
        <v>2</v>
      </c>
      <c r="W201" s="7">
        <f>SUM(Table3[[#This Row],[foreignHorse1]:[foreignHorse12]])</f>
        <v>2</v>
      </c>
      <c r="X201" s="3">
        <v>218520</v>
      </c>
      <c r="Y201" s="3">
        <v>34464</v>
      </c>
      <c r="Z201" s="3">
        <v>0</v>
      </c>
      <c r="AA201" s="3">
        <v>0</v>
      </c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>
        <v>218520</v>
      </c>
      <c r="AW201" s="3">
        <v>34464</v>
      </c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>
        <v>1</v>
      </c>
      <c r="CG201" s="1">
        <v>1</v>
      </c>
      <c r="CH201" s="1">
        <v>1</v>
      </c>
      <c r="CI201" s="1">
        <v>1</v>
      </c>
      <c r="CJ201" s="1"/>
      <c r="CK201" s="1"/>
      <c r="CL201" s="1"/>
      <c r="CM201" s="1"/>
      <c r="CN201" s="1"/>
      <c r="CO201" s="1"/>
      <c r="CP201" s="1"/>
      <c r="CQ201" s="1"/>
      <c r="CR201" s="1">
        <v>1</v>
      </c>
      <c r="CS201" s="1">
        <v>1</v>
      </c>
      <c r="CT201" s="1">
        <v>0</v>
      </c>
      <c r="CU201" s="1">
        <v>0</v>
      </c>
      <c r="CV201" s="1"/>
      <c r="CW201" s="1"/>
      <c r="CX201" s="1"/>
      <c r="CY201" s="1"/>
      <c r="CZ201" s="1"/>
      <c r="DA201" s="1"/>
      <c r="DB201" s="1"/>
      <c r="DC201" s="1"/>
      <c r="DD201" s="1">
        <v>1</v>
      </c>
      <c r="DE201" s="1">
        <v>1</v>
      </c>
      <c r="DF201" s="1">
        <v>0</v>
      </c>
      <c r="DG201" s="1">
        <v>0</v>
      </c>
      <c r="DH201" s="1"/>
      <c r="DI201" s="1"/>
      <c r="DJ201" s="1"/>
      <c r="DK201" s="1"/>
      <c r="DL201" s="1"/>
      <c r="DM201" s="1"/>
      <c r="DN201" s="1"/>
      <c r="DO201" s="1"/>
      <c r="DP201" s="1">
        <v>1</v>
      </c>
      <c r="DQ201" s="1">
        <v>2</v>
      </c>
      <c r="DR201" s="1">
        <v>3</v>
      </c>
      <c r="DS201" s="1">
        <v>4</v>
      </c>
      <c r="DT201" s="1"/>
      <c r="DU201" s="1"/>
      <c r="DV201" s="1"/>
      <c r="DW201" s="1"/>
      <c r="DX201" s="1"/>
      <c r="DY201" s="1"/>
      <c r="DZ201" s="1"/>
      <c r="EA201" s="1"/>
    </row>
    <row r="202" spans="1:131" x14ac:dyDescent="0.3">
      <c r="A202">
        <v>9730341</v>
      </c>
      <c r="B202" s="1" t="s">
        <v>682</v>
      </c>
      <c r="C202" s="1" t="s">
        <v>139</v>
      </c>
      <c r="D202" s="1">
        <v>2020</v>
      </c>
      <c r="E202" s="1">
        <v>1</v>
      </c>
      <c r="F202" s="10">
        <f>Table3[[#This Row],[First season 
with SF]]+Table3[[#This Row],['# Services 
provided]]</f>
        <v>2</v>
      </c>
      <c r="G202" s="26">
        <f>(Table3[[#This Row],[Total Income 
(Race + Price 
sold + Offs - maintenance cost)]]-Table3[[#This Row],[Price 
Bought]])/Table3[[#This Row],[Price 
Bought]]</f>
        <v>1.6977998434782606</v>
      </c>
      <c r="H202" s="31">
        <f>Table3[[#This Row],[Race 
earnings]]+Table3[[#This Row],[Price 
Sold]]-Table3[[#This Row],[Maintenance cost]]+Table3[[#This Row],[Total 
profit (Income - cost)]]</f>
        <v>1551234.91</v>
      </c>
      <c r="I202" s="3">
        <f>_xlfn.IFNA(VLOOKUP(Table3[[#This Row],[damId]],Sheet1!$A$2:$M$970,5, FALSE), VLOOKUP(Table3[[#This Row],[dam]],Sheet1!$B$2:$M$970,4, FALSE))</f>
        <v>0</v>
      </c>
      <c r="J202" s="3">
        <f>_xlfn.IFNA(VLOOKUP(Table3[[#This Row],[damId]],Sheet1!$A$2:$M$970,13, FALSE), VLOOKUP(Table3[[#This Row],[dam]],Sheet1!$B$2:$M$970,13, FALSE))</f>
        <v>1025000</v>
      </c>
      <c r="K202" s="3">
        <f>_xlfn.IFNA(VLOOKUP(Table3[[#This Row],[damId]],Sheet1!$A$2:$M$970,11, FALSE), VLOOKUP(Table3[[#This Row],[dam]],Sheet1!$B$2:$M$970,11, FALSE))</f>
        <v>575000</v>
      </c>
      <c r="L202" s="3">
        <f>_xlfn.IFNA(VLOOKUP(Table3[[#This Row],[damId]],Sheet1!$A$2:$M$970,12, FALSE), VLOOKUP(Table3[[#This Row],[dam]],Sheet1!$B$2:$M$970,12, FALSE))</f>
        <v>1600000</v>
      </c>
      <c r="M202" s="3">
        <f>_xlfn.IFNA(VLOOKUP(Table3[[#This Row],[damId]],Sheet1!$A$2:$T$970,20, FALSE), VLOOKUP(Table3[[#This Row],[dam]],Sheet1!$B$2:$T$970,20, FALSE))*Sheet1!$AD$3</f>
        <v>30246.57</v>
      </c>
      <c r="N202" s="3">
        <f>Table3[[#This Row],[Total 
income (Earnings + value - stud fee)]]-Table3[[#This Row],[Maintenance cost ]]</f>
        <v>-18518.52</v>
      </c>
      <c r="O202" s="3">
        <f>SUM(Table3[[#This Row],[income1]:[income12]])</f>
        <v>-18518.52</v>
      </c>
      <c r="P202" s="3">
        <f>_xlfn.IFNA(VLOOKUP(Table3[[#This Row],[damId]],Sheet1!$A$2:$Y$970,23, FALSE), VLOOKUP(Table3[[#This Row],[dam]],Sheet1!$B$2:$Y$970,23, FALSE))*Sheet1!$AD$3</f>
        <v>0</v>
      </c>
      <c r="Q202" s="3">
        <f>SUM(Table3[[#This Row],[earningsInRaces1]:[earningsInRaces12]])</f>
        <v>0</v>
      </c>
      <c r="R202" s="3">
        <f>SUM(Table3[[#This Row],[auctionPrice1]:[auctionPrice12]])</f>
        <v>0</v>
      </c>
      <c r="S202" s="3">
        <f>SUM(Table3[[#This Row],[studFeeUSD1]:[studFeeUSD12]])</f>
        <v>-18518.52</v>
      </c>
      <c r="T202" s="7">
        <f>COUNT(Table3[[#This Row],[successfulService1]:[successfulService12]])</f>
        <v>1</v>
      </c>
      <c r="U202" s="7">
        <f>SUM(Table3[[#This Row],[successfulService1]:[successfulService12]])</f>
        <v>0</v>
      </c>
      <c r="V202" s="7">
        <f>SUM(Table3[[#This Row],[soldInAuction1]:[soldInAuction12]])</f>
        <v>0</v>
      </c>
      <c r="W202" s="7">
        <f>SUM(Table3[[#This Row],[foreignHorse1]:[foreignHorse12]])</f>
        <v>0</v>
      </c>
      <c r="X202" s="3">
        <v>-18518.52</v>
      </c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>
        <v>-18518.52</v>
      </c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>
        <v>0</v>
      </c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>
        <v>0</v>
      </c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>
        <v>0</v>
      </c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>
        <v>1</v>
      </c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</row>
    <row r="203" spans="1:131" x14ac:dyDescent="0.3">
      <c r="A203">
        <v>9742975</v>
      </c>
      <c r="B203" s="1" t="s">
        <v>685</v>
      </c>
      <c r="C203" s="1" t="s">
        <v>139</v>
      </c>
      <c r="D203" s="1">
        <v>2020</v>
      </c>
      <c r="E203" s="1">
        <v>1</v>
      </c>
      <c r="F203" s="10">
        <f>Table3[[#This Row],[First season 
with SF]]+Table3[[#This Row],['# Services 
provided]]</f>
        <v>5</v>
      </c>
      <c r="G203" s="26">
        <f>(Table3[[#This Row],[Total Income 
(Race + Price 
sold + Offs - maintenance cost)]]-Table3[[#This Row],[Price 
Bought]])/Table3[[#This Row],[Price 
Bought]]</f>
        <v>-1.6057056666666669</v>
      </c>
      <c r="H203" s="31">
        <f>Table3[[#This Row],[Race 
earnings]]+Table3[[#This Row],[Price 
Sold]]-Table3[[#This Row],[Maintenance cost]]+Table3[[#This Row],[Total 
profit (Income - cost)]]</f>
        <v>-36342.340000000011</v>
      </c>
      <c r="I203" s="3">
        <f>_xlfn.IFNA(VLOOKUP(Table3[[#This Row],[damId]],Sheet1!$A$2:$M$970,5, FALSE), VLOOKUP(Table3[[#This Row],[dam]],Sheet1!$B$2:$M$970,4, FALSE))</f>
        <v>0</v>
      </c>
      <c r="J203" s="3">
        <f>_xlfn.IFNA(VLOOKUP(Table3[[#This Row],[damId]],Sheet1!$A$2:$M$970,13, FALSE), VLOOKUP(Table3[[#This Row],[dam]],Sheet1!$B$2:$M$970,13, FALSE))</f>
        <v>-60000</v>
      </c>
      <c r="K203" s="3">
        <f>_xlfn.IFNA(VLOOKUP(Table3[[#This Row],[damId]],Sheet1!$A$2:$M$970,11, FALSE), VLOOKUP(Table3[[#This Row],[dam]],Sheet1!$B$2:$M$970,11, FALSE))</f>
        <v>60000</v>
      </c>
      <c r="L203" s="3">
        <f>_xlfn.IFNA(VLOOKUP(Table3[[#This Row],[damId]],Sheet1!$A$2:$M$970,12, FALSE), VLOOKUP(Table3[[#This Row],[dam]],Sheet1!$B$2:$M$970,12, FALSE))</f>
        <v>0</v>
      </c>
      <c r="M203" s="3">
        <f>_xlfn.IFNA(VLOOKUP(Table3[[#This Row],[damId]],Sheet1!$A$2:$T$970,20, FALSE), VLOOKUP(Table3[[#This Row],[dam]],Sheet1!$B$2:$T$970,20, FALSE))*Sheet1!$AD$3</f>
        <v>90575.340000000011</v>
      </c>
      <c r="N203" s="3">
        <f>Table3[[#This Row],[Total 
income (Earnings + value - stud fee)]]-Table3[[#This Row],[Maintenance cost ]]</f>
        <v>54233</v>
      </c>
      <c r="O203" s="3">
        <f>SUM(Table3[[#This Row],[income1]:[income12]])</f>
        <v>54233</v>
      </c>
      <c r="P203" s="3">
        <f>_xlfn.IFNA(VLOOKUP(Table3[[#This Row],[damId]],Sheet1!$A$2:$Y$970,23, FALSE), VLOOKUP(Table3[[#This Row],[dam]],Sheet1!$B$2:$Y$970,23, FALSE))*Sheet1!$AD$3</f>
        <v>0</v>
      </c>
      <c r="Q203" s="3">
        <f>SUM(Table3[[#This Row],[earningsInRaces1]:[earningsInRaces12]])</f>
        <v>0</v>
      </c>
      <c r="R203" s="3">
        <f>SUM(Table3[[#This Row],[auctionPrice1]:[auctionPrice12]])</f>
        <v>54233</v>
      </c>
      <c r="S203" s="3">
        <f>SUM(Table3[[#This Row],[studFeeUSD1]:[studFeeUSD12]])</f>
        <v>0</v>
      </c>
      <c r="T203" s="7">
        <f>COUNT(Table3[[#This Row],[successfulService1]:[successfulService12]])</f>
        <v>4</v>
      </c>
      <c r="U203" s="7">
        <f>SUM(Table3[[#This Row],[successfulService1]:[successfulService12]])</f>
        <v>3</v>
      </c>
      <c r="V203" s="7">
        <f>SUM(Table3[[#This Row],[soldInAuction1]:[soldInAuction12]])</f>
        <v>1</v>
      </c>
      <c r="W203" s="7">
        <f>SUM(Table3[[#This Row],[foreignHorse1]:[foreignHorse12]])</f>
        <v>2</v>
      </c>
      <c r="X203" s="3">
        <v>54233</v>
      </c>
      <c r="Y203" s="3">
        <v>0</v>
      </c>
      <c r="Z203" s="3">
        <v>0</v>
      </c>
      <c r="AA203" s="3">
        <v>0</v>
      </c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>
        <v>54233</v>
      </c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>
        <v>1</v>
      </c>
      <c r="CG203" s="1">
        <v>1</v>
      </c>
      <c r="CH203" s="1">
        <v>0</v>
      </c>
      <c r="CI203" s="1">
        <v>1</v>
      </c>
      <c r="CJ203" s="1"/>
      <c r="CK203" s="1"/>
      <c r="CL203" s="1"/>
      <c r="CM203" s="1"/>
      <c r="CN203" s="1"/>
      <c r="CO203" s="1"/>
      <c r="CP203" s="1"/>
      <c r="CQ203" s="1"/>
      <c r="CR203" s="1">
        <v>1</v>
      </c>
      <c r="CS203" s="1">
        <v>0</v>
      </c>
      <c r="CT203" s="1">
        <v>0</v>
      </c>
      <c r="CU203" s="1">
        <v>0</v>
      </c>
      <c r="CV203" s="1"/>
      <c r="CW203" s="1"/>
      <c r="CX203" s="1"/>
      <c r="CY203" s="1"/>
      <c r="CZ203" s="1"/>
      <c r="DA203" s="1"/>
      <c r="DB203" s="1"/>
      <c r="DC203" s="1"/>
      <c r="DD203" s="1">
        <v>1</v>
      </c>
      <c r="DE203" s="1">
        <v>1</v>
      </c>
      <c r="DF203" s="1">
        <v>0</v>
      </c>
      <c r="DG203" s="1">
        <v>0</v>
      </c>
      <c r="DH203" s="1"/>
      <c r="DI203" s="1"/>
      <c r="DJ203" s="1"/>
      <c r="DK203" s="1"/>
      <c r="DL203" s="1"/>
      <c r="DM203" s="1"/>
      <c r="DN203" s="1"/>
      <c r="DO203" s="1"/>
      <c r="DP203" s="1">
        <v>1</v>
      </c>
      <c r="DQ203" s="1">
        <v>2</v>
      </c>
      <c r="DR203" s="1">
        <v>3</v>
      </c>
      <c r="DS203" s="1">
        <v>4</v>
      </c>
      <c r="DT203" s="1"/>
      <c r="DU203" s="1"/>
      <c r="DV203" s="1"/>
      <c r="DW203" s="1"/>
      <c r="DX203" s="1"/>
      <c r="DY203" s="1"/>
      <c r="DZ203" s="1"/>
      <c r="EA203" s="1"/>
    </row>
    <row r="204" spans="1:131" x14ac:dyDescent="0.3">
      <c r="A204">
        <v>9867734</v>
      </c>
      <c r="B204" s="1" t="s">
        <v>708</v>
      </c>
      <c r="C204" s="1" t="s">
        <v>139</v>
      </c>
      <c r="D204" s="1">
        <v>2020</v>
      </c>
      <c r="E204" s="1">
        <v>1</v>
      </c>
      <c r="F204" s="10">
        <f>Table3[[#This Row],[First season 
with SF]]+Table3[[#This Row],['# Services 
provided]]</f>
        <v>5</v>
      </c>
      <c r="G204" s="26">
        <f>(Table3[[#This Row],[Total Income 
(Race + Price 
sold + Offs - maintenance cost)]]-Table3[[#This Row],[Price 
Bought]])/Table3[[#This Row],[Price 
Bought]]</f>
        <v>0.25192536956521749</v>
      </c>
      <c r="H204" s="31">
        <f>Table3[[#This Row],[Race 
earnings]]+Table3[[#This Row],[Price 
Sold]]-Table3[[#This Row],[Maintenance cost]]+Table3[[#This Row],[Total 
profit (Income - cost)]]</f>
        <v>287942.83500000002</v>
      </c>
      <c r="I204" s="3">
        <f>_xlfn.IFNA(VLOOKUP(Table3[[#This Row],[damId]],Sheet1!$A$2:$M$970,5, FALSE), VLOOKUP(Table3[[#This Row],[dam]],Sheet1!$B$2:$M$970,4, FALSE))</f>
        <v>0</v>
      </c>
      <c r="J204" s="3">
        <f>_xlfn.IFNA(VLOOKUP(Table3[[#This Row],[damId]],Sheet1!$A$2:$M$970,13, FALSE), VLOOKUP(Table3[[#This Row],[dam]],Sheet1!$B$2:$M$970,13, FALSE))</f>
        <v>-230000</v>
      </c>
      <c r="K204" s="3">
        <f>_xlfn.IFNA(VLOOKUP(Table3[[#This Row],[damId]],Sheet1!$A$2:$M$970,11, FALSE), VLOOKUP(Table3[[#This Row],[dam]],Sheet1!$B$2:$M$970,11, FALSE))</f>
        <v>230000</v>
      </c>
      <c r="L204" s="3">
        <f>_xlfn.IFNA(VLOOKUP(Table3[[#This Row],[damId]],Sheet1!$A$2:$M$970,12, FALSE), VLOOKUP(Table3[[#This Row],[dam]],Sheet1!$B$2:$M$970,12, FALSE))</f>
        <v>0</v>
      </c>
      <c r="M204" s="3">
        <f>_xlfn.IFNA(VLOOKUP(Table3[[#This Row],[damId]],Sheet1!$A$2:$T$970,20, FALSE), VLOOKUP(Table3[[#This Row],[dam]],Sheet1!$B$2:$T$970,20, FALSE))*Sheet1!$AD$3</f>
        <v>94315.064999999988</v>
      </c>
      <c r="N204" s="3">
        <f>Table3[[#This Row],[Total 
income (Earnings + value - stud fee)]]-Table3[[#This Row],[Maintenance cost ]]</f>
        <v>382257.9</v>
      </c>
      <c r="O204" s="3">
        <f>SUM(Table3[[#This Row],[income1]:[income12]])</f>
        <v>382257.9</v>
      </c>
      <c r="P204" s="3">
        <f>_xlfn.IFNA(VLOOKUP(Table3[[#This Row],[damId]],Sheet1!$A$2:$Y$970,23, FALSE), VLOOKUP(Table3[[#This Row],[dam]],Sheet1!$B$2:$Y$970,23, FALSE))*Sheet1!$AD$3</f>
        <v>0</v>
      </c>
      <c r="Q204" s="3">
        <f>SUM(Table3[[#This Row],[earningsInRaces1]:[earningsInRaces12]])</f>
        <v>0</v>
      </c>
      <c r="R204" s="3">
        <f>SUM(Table3[[#This Row],[auctionPrice1]:[auctionPrice12]])</f>
        <v>435491</v>
      </c>
      <c r="S204" s="3">
        <f>SUM(Table3[[#This Row],[studFeeUSD1]:[studFeeUSD12]])</f>
        <v>-53233.08</v>
      </c>
      <c r="T204" s="7">
        <f>COUNT(Table3[[#This Row],[successfulService1]:[successfulService12]])</f>
        <v>4</v>
      </c>
      <c r="U204" s="7">
        <f>SUM(Table3[[#This Row],[successfulService1]:[successfulService12]])</f>
        <v>4</v>
      </c>
      <c r="V204" s="7">
        <f>SUM(Table3[[#This Row],[soldInAuction1]:[soldInAuction12]])</f>
        <v>1</v>
      </c>
      <c r="W204" s="7">
        <f>SUM(Table3[[#This Row],[foreignHorse1]:[foreignHorse12]])</f>
        <v>2</v>
      </c>
      <c r="X204" s="3">
        <v>0</v>
      </c>
      <c r="Y204" s="3">
        <v>382257.9</v>
      </c>
      <c r="Z204" s="3">
        <v>0</v>
      </c>
      <c r="AA204" s="3">
        <v>0</v>
      </c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>
        <v>435491</v>
      </c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>
        <v>-53233.08</v>
      </c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>
        <v>1</v>
      </c>
      <c r="CG204" s="1">
        <v>1</v>
      </c>
      <c r="CH204" s="1">
        <v>1</v>
      </c>
      <c r="CI204" s="1">
        <v>1</v>
      </c>
      <c r="CJ204" s="1"/>
      <c r="CK204" s="1"/>
      <c r="CL204" s="1"/>
      <c r="CM204" s="1"/>
      <c r="CN204" s="1"/>
      <c r="CO204" s="1"/>
      <c r="CP204" s="1"/>
      <c r="CQ204" s="1"/>
      <c r="CR204" s="1">
        <v>0</v>
      </c>
      <c r="CS204" s="1">
        <v>1</v>
      </c>
      <c r="CT204" s="1">
        <v>0</v>
      </c>
      <c r="CU204" s="1">
        <v>0</v>
      </c>
      <c r="CV204" s="1"/>
      <c r="CW204" s="1"/>
      <c r="CX204" s="1"/>
      <c r="CY204" s="1"/>
      <c r="CZ204" s="1"/>
      <c r="DA204" s="1"/>
      <c r="DB204" s="1"/>
      <c r="DC204" s="1"/>
      <c r="DD204" s="1">
        <v>1</v>
      </c>
      <c r="DE204" s="1">
        <v>1</v>
      </c>
      <c r="DF204" s="1">
        <v>0</v>
      </c>
      <c r="DG204" s="1">
        <v>0</v>
      </c>
      <c r="DH204" s="1"/>
      <c r="DI204" s="1"/>
      <c r="DJ204" s="1"/>
      <c r="DK204" s="1"/>
      <c r="DL204" s="1"/>
      <c r="DM204" s="1"/>
      <c r="DN204" s="1"/>
      <c r="DO204" s="1"/>
      <c r="DP204" s="1">
        <v>1</v>
      </c>
      <c r="DQ204" s="1">
        <v>2</v>
      </c>
      <c r="DR204" s="1">
        <v>3</v>
      </c>
      <c r="DS204" s="1">
        <v>4</v>
      </c>
      <c r="DT204" s="1"/>
      <c r="DU204" s="1"/>
      <c r="DV204" s="1"/>
      <c r="DW204" s="1"/>
      <c r="DX204" s="1"/>
      <c r="DY204" s="1"/>
      <c r="DZ204" s="1"/>
      <c r="EA204" s="1"/>
    </row>
    <row r="205" spans="1:131" x14ac:dyDescent="0.3">
      <c r="A205">
        <v>9875282</v>
      </c>
      <c r="B205" s="1" t="s">
        <v>710</v>
      </c>
      <c r="C205" s="1" t="s">
        <v>139</v>
      </c>
      <c r="D205" s="1">
        <v>2020</v>
      </c>
      <c r="E205" s="1">
        <v>1</v>
      </c>
      <c r="F205" s="10">
        <f>Table3[[#This Row],[First season 
with SF]]+Table3[[#This Row],['# Services 
provided]]</f>
        <v>5</v>
      </c>
      <c r="G205" s="26">
        <f>(Table3[[#This Row],[Total Income 
(Race + Price 
sold + Offs - maintenance cost)]]-Table3[[#This Row],[Price 
Bought]])/Table3[[#This Row],[Price 
Bought]]</f>
        <v>-0.57105004615384625</v>
      </c>
      <c r="H205" s="31">
        <f>Table3[[#This Row],[Race 
earnings]]+Table3[[#This Row],[Price 
Sold]]-Table3[[#This Row],[Maintenance cost]]+Table3[[#This Row],[Total 
profit (Income - cost)]]</f>
        <v>139408.73499999999</v>
      </c>
      <c r="I205" s="3">
        <f>_xlfn.IFNA(VLOOKUP(Table3[[#This Row],[damId]],Sheet1!$A$2:$M$970,5, FALSE), VLOOKUP(Table3[[#This Row],[dam]],Sheet1!$B$2:$M$970,4, FALSE))</f>
        <v>0</v>
      </c>
      <c r="J205" s="3">
        <f>_xlfn.IFNA(VLOOKUP(Table3[[#This Row],[damId]],Sheet1!$A$2:$M$970,13, FALSE), VLOOKUP(Table3[[#This Row],[dam]],Sheet1!$B$2:$M$970,13, FALSE))</f>
        <v>-325000</v>
      </c>
      <c r="K205" s="3">
        <f>_xlfn.IFNA(VLOOKUP(Table3[[#This Row],[damId]],Sheet1!$A$2:$M$970,11, FALSE), VLOOKUP(Table3[[#This Row],[dam]],Sheet1!$B$2:$M$970,11, FALSE))</f>
        <v>325000</v>
      </c>
      <c r="L205" s="3">
        <f>_xlfn.IFNA(VLOOKUP(Table3[[#This Row],[damId]],Sheet1!$A$2:$M$970,12, FALSE), VLOOKUP(Table3[[#This Row],[dam]],Sheet1!$B$2:$M$970,12, FALSE))</f>
        <v>0</v>
      </c>
      <c r="M205" s="3">
        <f>_xlfn.IFNA(VLOOKUP(Table3[[#This Row],[damId]],Sheet1!$A$2:$T$970,20, FALSE), VLOOKUP(Table3[[#This Row],[dam]],Sheet1!$B$2:$T$970,20, FALSE))*Sheet1!$AD$3</f>
        <v>94397.264999999999</v>
      </c>
      <c r="N205" s="3">
        <f>Table3[[#This Row],[Total 
income (Earnings + value - stud fee)]]-Table3[[#This Row],[Maintenance cost ]]</f>
        <v>233806</v>
      </c>
      <c r="O205" s="3">
        <f>SUM(Table3[[#This Row],[income1]:[income12]])</f>
        <v>233806</v>
      </c>
      <c r="P205" s="3">
        <f>_xlfn.IFNA(VLOOKUP(Table3[[#This Row],[damId]],Sheet1!$A$2:$Y$970,23, FALSE), VLOOKUP(Table3[[#This Row],[dam]],Sheet1!$B$2:$Y$970,23, FALSE))*Sheet1!$AD$3</f>
        <v>0</v>
      </c>
      <c r="Q205" s="3">
        <f>SUM(Table3[[#This Row],[earningsInRaces1]:[earningsInRaces12]])</f>
        <v>0</v>
      </c>
      <c r="R205" s="3">
        <f>SUM(Table3[[#This Row],[auctionPrice1]:[auctionPrice12]])</f>
        <v>233806</v>
      </c>
      <c r="S205" s="3">
        <f>SUM(Table3[[#This Row],[studFeeUSD1]:[studFeeUSD12]])</f>
        <v>0</v>
      </c>
      <c r="T205" s="7">
        <f>COUNT(Table3[[#This Row],[successfulService1]:[successfulService12]])</f>
        <v>4</v>
      </c>
      <c r="U205" s="7">
        <f>SUM(Table3[[#This Row],[successfulService1]:[successfulService12]])</f>
        <v>4</v>
      </c>
      <c r="V205" s="7">
        <f>SUM(Table3[[#This Row],[soldInAuction1]:[soldInAuction12]])</f>
        <v>3</v>
      </c>
      <c r="W205" s="7">
        <f>SUM(Table3[[#This Row],[foreignHorse1]:[foreignHorse12]])</f>
        <v>2</v>
      </c>
      <c r="X205" s="3">
        <v>42430</v>
      </c>
      <c r="Y205" s="3">
        <v>99946</v>
      </c>
      <c r="Z205" s="3">
        <v>91430</v>
      </c>
      <c r="AA205" s="3">
        <v>0</v>
      </c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>
        <v>42430</v>
      </c>
      <c r="AW205" s="3">
        <v>99946</v>
      </c>
      <c r="AX205" s="3">
        <v>91430</v>
      </c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>
        <v>1</v>
      </c>
      <c r="CG205" s="1">
        <v>1</v>
      </c>
      <c r="CH205" s="1">
        <v>1</v>
      </c>
      <c r="CI205" s="1">
        <v>1</v>
      </c>
      <c r="CJ205" s="1"/>
      <c r="CK205" s="1"/>
      <c r="CL205" s="1"/>
      <c r="CM205" s="1"/>
      <c r="CN205" s="1"/>
      <c r="CO205" s="1"/>
      <c r="CP205" s="1"/>
      <c r="CQ205" s="1"/>
      <c r="CR205" s="1">
        <v>1</v>
      </c>
      <c r="CS205" s="1">
        <v>1</v>
      </c>
      <c r="CT205" s="1">
        <v>1</v>
      </c>
      <c r="CU205" s="1">
        <v>0</v>
      </c>
      <c r="CV205" s="1"/>
      <c r="CW205" s="1"/>
      <c r="CX205" s="1"/>
      <c r="CY205" s="1"/>
      <c r="CZ205" s="1"/>
      <c r="DA205" s="1"/>
      <c r="DB205" s="1"/>
      <c r="DC205" s="1"/>
      <c r="DD205" s="1">
        <v>1</v>
      </c>
      <c r="DE205" s="1">
        <v>1</v>
      </c>
      <c r="DF205" s="1">
        <v>0</v>
      </c>
      <c r="DG205" s="1">
        <v>0</v>
      </c>
      <c r="DH205" s="1"/>
      <c r="DI205" s="1"/>
      <c r="DJ205" s="1"/>
      <c r="DK205" s="1"/>
      <c r="DL205" s="1"/>
      <c r="DM205" s="1"/>
      <c r="DN205" s="1"/>
      <c r="DO205" s="1"/>
      <c r="DP205" s="1">
        <v>1</v>
      </c>
      <c r="DQ205" s="1">
        <v>2</v>
      </c>
      <c r="DR205" s="1">
        <v>3</v>
      </c>
      <c r="DS205" s="1">
        <v>4</v>
      </c>
      <c r="DT205" s="1"/>
      <c r="DU205" s="1"/>
      <c r="DV205" s="1"/>
      <c r="DW205" s="1"/>
      <c r="DX205" s="1"/>
      <c r="DY205" s="1"/>
      <c r="DZ205" s="1"/>
      <c r="EA205" s="1"/>
    </row>
    <row r="206" spans="1:131" x14ac:dyDescent="0.3">
      <c r="A206">
        <v>9882435</v>
      </c>
      <c r="B206" s="1" t="s">
        <v>721</v>
      </c>
      <c r="C206" s="1" t="s">
        <v>24</v>
      </c>
      <c r="D206" s="1">
        <v>2020</v>
      </c>
      <c r="E206" s="1">
        <v>1</v>
      </c>
      <c r="F206" s="10">
        <f>Table3[[#This Row],[First season 
with SF]]+Table3[[#This Row],['# Services 
provided]]</f>
        <v>2</v>
      </c>
      <c r="G206" s="26">
        <f>(Table3[[#This Row],[Total Income 
(Race + Price 
sold + Offs - maintenance cost)]]-Table3[[#This Row],[Price 
Bought]])/Table3[[#This Row],[Price 
Bought]]</f>
        <v>2.6493150454545451</v>
      </c>
      <c r="H206" s="31">
        <f>Table3[[#This Row],[Race 
earnings]]+Table3[[#This Row],[Price 
Sold]]-Table3[[#This Row],[Maintenance cost]]+Table3[[#This Row],[Total 
profit (Income - cost)]]</f>
        <v>1204273.9649999999</v>
      </c>
      <c r="I206" s="3">
        <f>_xlfn.IFNA(VLOOKUP(Table3[[#This Row],[damId]],Sheet1!$A$2:$M$970,5, FALSE), VLOOKUP(Table3[[#This Row],[dam]],Sheet1!$B$2:$M$970,4, FALSE))</f>
        <v>0</v>
      </c>
      <c r="J206" s="3">
        <f>_xlfn.IFNA(VLOOKUP(Table3[[#This Row],[damId]],Sheet1!$A$2:$M$970,13, FALSE), VLOOKUP(Table3[[#This Row],[dam]],Sheet1!$B$2:$M$970,13, FALSE))</f>
        <v>230000</v>
      </c>
      <c r="K206" s="3">
        <f>_xlfn.IFNA(VLOOKUP(Table3[[#This Row],[damId]],Sheet1!$A$2:$M$970,11, FALSE), VLOOKUP(Table3[[#This Row],[dam]],Sheet1!$B$2:$M$970,11, FALSE))</f>
        <v>330000</v>
      </c>
      <c r="L206" s="3">
        <f>_xlfn.IFNA(VLOOKUP(Table3[[#This Row],[damId]],Sheet1!$A$2:$M$970,12, FALSE), VLOOKUP(Table3[[#This Row],[dam]],Sheet1!$B$2:$M$970,12, FALSE))</f>
        <v>560000</v>
      </c>
      <c r="M206" s="3">
        <f>_xlfn.IFNA(VLOOKUP(Table3[[#This Row],[damId]],Sheet1!$A$2:$T$970,20, FALSE), VLOOKUP(Table3[[#This Row],[dam]],Sheet1!$B$2:$T$970,20, FALSE))*Sheet1!$AD$3</f>
        <v>30164.385000000002</v>
      </c>
      <c r="N206" s="3">
        <f>Table3[[#This Row],[Total 
income (Earnings + value - stud fee)]]-Table3[[#This Row],[Maintenance cost ]]</f>
        <v>674438.35</v>
      </c>
      <c r="O206" s="3">
        <f>SUM(Table3[[#This Row],[income1]:[income12]])</f>
        <v>700000</v>
      </c>
      <c r="P206" s="3">
        <f>_xlfn.IFNA(VLOOKUP(Table3[[#This Row],[damId]],Sheet1!$A$2:$Y$970,23, FALSE), VLOOKUP(Table3[[#This Row],[dam]],Sheet1!$B$2:$Y$970,23, FALSE))*Sheet1!$AD$3</f>
        <v>25561.65</v>
      </c>
      <c r="Q206" s="3">
        <f>SUM(Table3[[#This Row],[earningsInRaces1]:[earningsInRaces12]])</f>
        <v>0</v>
      </c>
      <c r="R206" s="3">
        <f>SUM(Table3[[#This Row],[auctionPrice1]:[auctionPrice12]])</f>
        <v>700000</v>
      </c>
      <c r="S206" s="3">
        <f>SUM(Table3[[#This Row],[studFeeUSD1]:[studFeeUSD12]])</f>
        <v>0</v>
      </c>
      <c r="T206" s="7">
        <f>COUNT(Table3[[#This Row],[successfulService1]:[successfulService12]])</f>
        <v>1</v>
      </c>
      <c r="U206" s="7">
        <f>SUM(Table3[[#This Row],[successfulService1]:[successfulService12]])</f>
        <v>1</v>
      </c>
      <c r="V206" s="7">
        <f>SUM(Table3[[#This Row],[soldInAuction1]:[soldInAuction12]])</f>
        <v>1</v>
      </c>
      <c r="W206" s="7">
        <f>SUM(Table3[[#This Row],[foreignHorse1]:[foreignHorse12]])</f>
        <v>0</v>
      </c>
      <c r="X206" s="3">
        <v>700000</v>
      </c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>
        <v>0</v>
      </c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>
        <v>700000</v>
      </c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>
        <v>0</v>
      </c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1">
        <v>0</v>
      </c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>
        <v>1</v>
      </c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>
        <v>1</v>
      </c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>
        <v>0</v>
      </c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>
        <v>1</v>
      </c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</row>
    <row r="207" spans="1:131" x14ac:dyDescent="0.3">
      <c r="A207">
        <v>9910047</v>
      </c>
      <c r="B207" s="1" t="s">
        <v>741</v>
      </c>
      <c r="C207" s="1" t="s">
        <v>139</v>
      </c>
      <c r="D207" s="1">
        <v>2020</v>
      </c>
      <c r="E207" s="1">
        <v>1</v>
      </c>
      <c r="F207" s="10">
        <f>Table3[[#This Row],[First season 
with SF]]+Table3[[#This Row],['# Services 
provided]]</f>
        <v>2</v>
      </c>
      <c r="G207" s="26">
        <f>(Table3[[#This Row],[Total Income 
(Race + Price 
sold + Offs - maintenance cost)]]-Table3[[#This Row],[Price 
Bought]])/Table3[[#This Row],[Price 
Bought]]</f>
        <v>0.27408217599999996</v>
      </c>
      <c r="H207" s="31">
        <f>Table3[[#This Row],[Race 
earnings]]+Table3[[#This Row],[Price 
Sold]]-Table3[[#This Row],[Maintenance cost]]+Table3[[#This Row],[Total 
profit (Income - cost)]]</f>
        <v>159260.272</v>
      </c>
      <c r="I207" s="3">
        <f>_xlfn.IFNA(VLOOKUP(Table3[[#This Row],[damId]],Sheet1!$A$2:$M$970,5, FALSE), VLOOKUP(Table3[[#This Row],[dam]],Sheet1!$B$2:$M$970,4, FALSE))</f>
        <v>0</v>
      </c>
      <c r="J207" s="3">
        <f>_xlfn.IFNA(VLOOKUP(Table3[[#This Row],[damId]],Sheet1!$A$2:$M$970,13, FALSE), VLOOKUP(Table3[[#This Row],[dam]],Sheet1!$B$2:$M$970,13, FALSE))</f>
        <v>25000</v>
      </c>
      <c r="K207" s="3">
        <f>_xlfn.IFNA(VLOOKUP(Table3[[#This Row],[damId]],Sheet1!$A$2:$M$970,11, FALSE), VLOOKUP(Table3[[#This Row],[dam]],Sheet1!$B$2:$M$970,11, FALSE))</f>
        <v>125000</v>
      </c>
      <c r="L207" s="3">
        <f>_xlfn.IFNA(VLOOKUP(Table3[[#This Row],[damId]],Sheet1!$A$2:$M$970,12, FALSE), VLOOKUP(Table3[[#This Row],[dam]],Sheet1!$B$2:$M$970,12, FALSE))</f>
        <v>150000</v>
      </c>
      <c r="M207" s="3">
        <f>_xlfn.IFNA(VLOOKUP(Table3[[#This Row],[damId]],Sheet1!$A$2:$T$970,20, FALSE), VLOOKUP(Table3[[#This Row],[dam]],Sheet1!$B$2:$T$970,20, FALSE))*Sheet1!$AD$3</f>
        <v>35260.275000000001</v>
      </c>
      <c r="N207" s="3">
        <f>Table3[[#This Row],[Total 
income (Earnings + value - stud fee)]]-Table3[[#This Row],[Maintenance cost ]]</f>
        <v>44520.546999999999</v>
      </c>
      <c r="O207" s="3">
        <f>SUM(Table3[[#This Row],[income1]:[income12]])</f>
        <v>55000</v>
      </c>
      <c r="P207" s="3">
        <f>_xlfn.IFNA(VLOOKUP(Table3[[#This Row],[damId]],Sheet1!$A$2:$Y$970,23, FALSE), VLOOKUP(Table3[[#This Row],[dam]],Sheet1!$B$2:$Y$970,23, FALSE))*Sheet1!$AD$3</f>
        <v>10479.453</v>
      </c>
      <c r="Q207" s="3">
        <f>SUM(Table3[[#This Row],[earningsInRaces1]:[earningsInRaces12]])</f>
        <v>0</v>
      </c>
      <c r="R207" s="3">
        <f>SUM(Table3[[#This Row],[auctionPrice1]:[auctionPrice12]])</f>
        <v>75000</v>
      </c>
      <c r="S207" s="3">
        <f>SUM(Table3[[#This Row],[studFeeUSD1]:[studFeeUSD12]])</f>
        <v>-20000</v>
      </c>
      <c r="T207" s="7">
        <f>COUNT(Table3[[#This Row],[successfulService1]:[successfulService12]])</f>
        <v>1</v>
      </c>
      <c r="U207" s="7">
        <f>SUM(Table3[[#This Row],[successfulService1]:[successfulService12]])</f>
        <v>1</v>
      </c>
      <c r="V207" s="7">
        <f>SUM(Table3[[#This Row],[soldInAuction1]:[soldInAuction12]])</f>
        <v>1</v>
      </c>
      <c r="W207" s="7">
        <f>SUM(Table3[[#This Row],[foreignHorse1]:[foreignHorse12]])</f>
        <v>0</v>
      </c>
      <c r="X207" s="3">
        <v>55000</v>
      </c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>
        <v>0</v>
      </c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>
        <v>75000</v>
      </c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>
        <v>-20000</v>
      </c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1">
        <v>0</v>
      </c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>
        <v>1</v>
      </c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>
        <v>1</v>
      </c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>
        <v>0</v>
      </c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>
        <v>1</v>
      </c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</row>
    <row r="208" spans="1:131" x14ac:dyDescent="0.3">
      <c r="A208">
        <v>9949603</v>
      </c>
      <c r="B208" s="1" t="s">
        <v>759</v>
      </c>
      <c r="C208" s="1" t="s">
        <v>24</v>
      </c>
      <c r="D208" s="1">
        <v>2020</v>
      </c>
      <c r="E208" s="1">
        <v>1</v>
      </c>
      <c r="F208" s="10">
        <f>Table3[[#This Row],[First season 
with SF]]+Table3[[#This Row],['# Services 
provided]]</f>
        <v>4</v>
      </c>
      <c r="G208" s="26">
        <f>(Table3[[#This Row],[Total Income 
(Race + Price 
sold + Offs - maintenance cost)]]-Table3[[#This Row],[Price 
Bought]])/Table3[[#This Row],[Price 
Bought]]</f>
        <v>-0.71477969999999991</v>
      </c>
      <c r="H208" s="31">
        <f>Table3[[#This Row],[Race 
earnings]]+Table3[[#This Row],[Price 
Sold]]-Table3[[#This Row],[Maintenance cost]]+Table3[[#This Row],[Total 
profit (Income - cost)]]</f>
        <v>42783.04500000002</v>
      </c>
      <c r="I208" s="3">
        <f>_xlfn.IFNA(VLOOKUP(Table3[[#This Row],[damId]],Sheet1!$A$2:$M$970,5, FALSE), VLOOKUP(Table3[[#This Row],[dam]],Sheet1!$B$2:$M$970,4, FALSE))</f>
        <v>0</v>
      </c>
      <c r="J208" s="3">
        <f>_xlfn.IFNA(VLOOKUP(Table3[[#This Row],[damId]],Sheet1!$A$2:$M$970,13, FALSE), VLOOKUP(Table3[[#This Row],[dam]],Sheet1!$B$2:$M$970,13, FALSE))</f>
        <v>-107877</v>
      </c>
      <c r="K208" s="3">
        <f>_xlfn.IFNA(VLOOKUP(Table3[[#This Row],[damId]],Sheet1!$A$2:$M$970,11, FALSE), VLOOKUP(Table3[[#This Row],[dam]],Sheet1!$B$2:$M$970,11, FALSE))</f>
        <v>150000</v>
      </c>
      <c r="L208" s="3">
        <f>_xlfn.IFNA(VLOOKUP(Table3[[#This Row],[damId]],Sheet1!$A$2:$M$970,12, FALSE), VLOOKUP(Table3[[#This Row],[dam]],Sheet1!$B$2:$M$970,12, FALSE))</f>
        <v>42123</v>
      </c>
      <c r="M208" s="3">
        <f>_xlfn.IFNA(VLOOKUP(Table3[[#This Row],[damId]],Sheet1!$A$2:$T$970,20, FALSE), VLOOKUP(Table3[[#This Row],[dam]],Sheet1!$B$2:$T$970,20, FALSE))*Sheet1!$AD$3</f>
        <v>46150.68</v>
      </c>
      <c r="N208" s="3">
        <f>Table3[[#This Row],[Total 
income (Earnings + value - stud fee)]]-Table3[[#This Row],[Maintenance cost ]]</f>
        <v>46810.72500000002</v>
      </c>
      <c r="O208" s="3">
        <f>SUM(Table3[[#This Row],[income1]:[income12]])</f>
        <v>70399.770000000019</v>
      </c>
      <c r="P208" s="3">
        <f>_xlfn.IFNA(VLOOKUP(Table3[[#This Row],[damId]],Sheet1!$A$2:$Y$970,23, FALSE), VLOOKUP(Table3[[#This Row],[dam]],Sheet1!$B$2:$Y$970,23, FALSE))*Sheet1!$AD$3</f>
        <v>23589.044999999998</v>
      </c>
      <c r="Q208" s="3">
        <f>SUM(Table3[[#This Row],[earningsInRaces1]:[earningsInRaces12]])</f>
        <v>0</v>
      </c>
      <c r="R208" s="3">
        <f>SUM(Table3[[#This Row],[auctionPrice1]:[auctionPrice12]])</f>
        <v>104146</v>
      </c>
      <c r="S208" s="3">
        <f>SUM(Table3[[#This Row],[studFeeUSD1]:[studFeeUSD12]])</f>
        <v>-33746.229999999996</v>
      </c>
      <c r="T208" s="7">
        <f>COUNT(Table3[[#This Row],[successfulService1]:[successfulService12]])</f>
        <v>3</v>
      </c>
      <c r="U208" s="7">
        <f>SUM(Table3[[#This Row],[successfulService1]:[successfulService12]])</f>
        <v>3</v>
      </c>
      <c r="V208" s="7">
        <f>SUM(Table3[[#This Row],[soldInAuction1]:[soldInAuction12]])</f>
        <v>3</v>
      </c>
      <c r="W208" s="7">
        <f>SUM(Table3[[#This Row],[foreignHorse1]:[foreignHorse12]])</f>
        <v>2</v>
      </c>
      <c r="X208" s="3">
        <v>43703</v>
      </c>
      <c r="Y208" s="3">
        <v>41686.730000000003</v>
      </c>
      <c r="Z208" s="3">
        <v>-14989.96</v>
      </c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>
        <v>0</v>
      </c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>
        <v>43703</v>
      </c>
      <c r="AW208" s="3">
        <v>54995</v>
      </c>
      <c r="AX208" s="3">
        <v>5448</v>
      </c>
      <c r="AY208" s="3"/>
      <c r="AZ208" s="3"/>
      <c r="BA208" s="3"/>
      <c r="BB208" s="3"/>
      <c r="BC208" s="3"/>
      <c r="BD208" s="3"/>
      <c r="BE208" s="3"/>
      <c r="BF208" s="3"/>
      <c r="BG208" s="3"/>
      <c r="BH208" s="3">
        <v>0</v>
      </c>
      <c r="BI208" s="3">
        <v>-13308.27</v>
      </c>
      <c r="BJ208" s="3">
        <v>-20437.96</v>
      </c>
      <c r="BK208" s="3"/>
      <c r="BL208" s="3"/>
      <c r="BM208" s="3"/>
      <c r="BN208" s="3"/>
      <c r="BO208" s="3"/>
      <c r="BP208" s="3"/>
      <c r="BQ208" s="3"/>
      <c r="BR208" s="3"/>
      <c r="BS208" s="3"/>
      <c r="BT208" s="1"/>
      <c r="BU208" s="1">
        <v>0</v>
      </c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>
        <v>1</v>
      </c>
      <c r="CG208" s="1">
        <v>1</v>
      </c>
      <c r="CH208" s="1">
        <v>1</v>
      </c>
      <c r="CI208" s="1"/>
      <c r="CJ208" s="1"/>
      <c r="CK208" s="1"/>
      <c r="CL208" s="1"/>
      <c r="CM208" s="1"/>
      <c r="CN208" s="1"/>
      <c r="CO208" s="1"/>
      <c r="CP208" s="1"/>
      <c r="CQ208" s="1"/>
      <c r="CR208" s="1">
        <v>1</v>
      </c>
      <c r="CS208" s="1">
        <v>1</v>
      </c>
      <c r="CT208" s="1">
        <v>1</v>
      </c>
      <c r="CU208" s="1"/>
      <c r="CV208" s="1"/>
      <c r="CW208" s="1"/>
      <c r="CX208" s="1"/>
      <c r="CY208" s="1"/>
      <c r="CZ208" s="1"/>
      <c r="DA208" s="1"/>
      <c r="DB208" s="1"/>
      <c r="DC208" s="1"/>
      <c r="DD208" s="1">
        <v>1</v>
      </c>
      <c r="DE208" s="1">
        <v>1</v>
      </c>
      <c r="DF208" s="1">
        <v>0</v>
      </c>
      <c r="DG208" s="1"/>
      <c r="DH208" s="1"/>
      <c r="DI208" s="1"/>
      <c r="DJ208" s="1"/>
      <c r="DK208" s="1"/>
      <c r="DL208" s="1"/>
      <c r="DM208" s="1"/>
      <c r="DN208" s="1"/>
      <c r="DO208" s="1"/>
      <c r="DP208" s="1">
        <v>1</v>
      </c>
      <c r="DQ208" s="1">
        <v>2</v>
      </c>
      <c r="DR208" s="1">
        <v>3</v>
      </c>
      <c r="DS208" s="1"/>
      <c r="DT208" s="1"/>
      <c r="DU208" s="1"/>
      <c r="DV208" s="1"/>
      <c r="DW208" s="1"/>
      <c r="DX208" s="1"/>
      <c r="DY208" s="1"/>
      <c r="DZ208" s="1"/>
      <c r="EA208" s="1"/>
    </row>
    <row r="209" spans="1:131" x14ac:dyDescent="0.3">
      <c r="A209">
        <v>10045134</v>
      </c>
      <c r="B209" s="1" t="s">
        <v>764</v>
      </c>
      <c r="C209" s="1" t="s">
        <v>24</v>
      </c>
      <c r="D209" s="1">
        <v>2020</v>
      </c>
      <c r="E209" s="1">
        <v>1</v>
      </c>
      <c r="F209" s="10">
        <f>Table3[[#This Row],[First season 
with SF]]+Table3[[#This Row],['# Services 
provided]]</f>
        <v>3</v>
      </c>
      <c r="G209" s="26">
        <f>(Table3[[#This Row],[Total Income 
(Race + Price 
sold + Offs - maintenance cost)]]-Table3[[#This Row],[Price 
Bought]])/Table3[[#This Row],[Price 
Bought]]</f>
        <v>-6.6397000000000444E-3</v>
      </c>
      <c r="H209" s="31">
        <f>Table3[[#This Row],[Race 
earnings]]+Table3[[#This Row],[Price 
Sold]]-Table3[[#This Row],[Maintenance cost]]+Table3[[#This Row],[Total 
profit (Income - cost)]]</f>
        <v>89402.426999999996</v>
      </c>
      <c r="I209" s="3">
        <f>_xlfn.IFNA(VLOOKUP(Table3[[#This Row],[damId]],Sheet1!$A$2:$M$970,5, FALSE), VLOOKUP(Table3[[#This Row],[dam]],Sheet1!$B$2:$M$970,4, FALSE))</f>
        <v>0</v>
      </c>
      <c r="J209" s="3">
        <f>_xlfn.IFNA(VLOOKUP(Table3[[#This Row],[damId]],Sheet1!$A$2:$M$970,13, FALSE), VLOOKUP(Table3[[#This Row],[dam]],Sheet1!$B$2:$M$970,13, FALSE))</f>
        <v>-44759</v>
      </c>
      <c r="K209" s="3">
        <f>_xlfn.IFNA(VLOOKUP(Table3[[#This Row],[damId]],Sheet1!$A$2:$M$970,11, FALSE), VLOOKUP(Table3[[#This Row],[dam]],Sheet1!$B$2:$M$970,11, FALSE))</f>
        <v>90000</v>
      </c>
      <c r="L209" s="3">
        <f>_xlfn.IFNA(VLOOKUP(Table3[[#This Row],[damId]],Sheet1!$A$2:$M$970,12, FALSE), VLOOKUP(Table3[[#This Row],[dam]],Sheet1!$B$2:$M$970,12, FALSE))</f>
        <v>45241</v>
      </c>
      <c r="M209" s="3">
        <f>_xlfn.IFNA(VLOOKUP(Table3[[#This Row],[damId]],Sheet1!$A$2:$T$970,20, FALSE), VLOOKUP(Table3[[#This Row],[dam]],Sheet1!$B$2:$T$970,20, FALSE))*Sheet1!$AD$3</f>
        <v>31027.395</v>
      </c>
      <c r="N209" s="3">
        <f>Table3[[#This Row],[Total 
income (Earnings + value - stud fee)]]-Table3[[#This Row],[Maintenance cost ]]</f>
        <v>75188.822</v>
      </c>
      <c r="O209" s="3">
        <f>SUM(Table3[[#This Row],[income1]:[income12]])</f>
        <v>86408</v>
      </c>
      <c r="P209" s="3">
        <f>_xlfn.IFNA(VLOOKUP(Table3[[#This Row],[damId]],Sheet1!$A$2:$Y$970,23, FALSE), VLOOKUP(Table3[[#This Row],[dam]],Sheet1!$B$2:$Y$970,23, FALSE))*Sheet1!$AD$3</f>
        <v>11219.178</v>
      </c>
      <c r="Q209" s="3">
        <f>SUM(Table3[[#This Row],[earningsInRaces1]:[earningsInRaces12]])</f>
        <v>0</v>
      </c>
      <c r="R209" s="3">
        <f>SUM(Table3[[#This Row],[auctionPrice1]:[auctionPrice12]])</f>
        <v>106408</v>
      </c>
      <c r="S209" s="3">
        <f>SUM(Table3[[#This Row],[studFeeUSD1]:[studFeeUSD12]])</f>
        <v>-20000</v>
      </c>
      <c r="T209" s="7">
        <f>COUNT(Table3[[#This Row],[successfulService1]:[successfulService12]])</f>
        <v>2</v>
      </c>
      <c r="U209" s="7">
        <f>SUM(Table3[[#This Row],[successfulService1]:[successfulService12]])</f>
        <v>2</v>
      </c>
      <c r="V209" s="7">
        <f>SUM(Table3[[#This Row],[soldInAuction1]:[soldInAuction12]])</f>
        <v>2</v>
      </c>
      <c r="W209" s="7">
        <f>SUM(Table3[[#This Row],[foreignHorse1]:[foreignHorse12]])</f>
        <v>1</v>
      </c>
      <c r="X209" s="3">
        <v>50000</v>
      </c>
      <c r="Y209" s="3">
        <v>36408</v>
      </c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>
        <v>0</v>
      </c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>
        <v>50000</v>
      </c>
      <c r="AW209" s="3">
        <v>56408</v>
      </c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>
        <v>0</v>
      </c>
      <c r="BI209" s="3">
        <v>-20000</v>
      </c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1">
        <v>0</v>
      </c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>
        <v>1</v>
      </c>
      <c r="CG209" s="1">
        <v>1</v>
      </c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>
        <v>1</v>
      </c>
      <c r="CS209" s="1">
        <v>1</v>
      </c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>
        <v>0</v>
      </c>
      <c r="DE209" s="1">
        <v>1</v>
      </c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>
        <v>1</v>
      </c>
      <c r="DQ209" s="1">
        <v>2</v>
      </c>
      <c r="DR209" s="1"/>
      <c r="DS209" s="1"/>
      <c r="DT209" s="1"/>
      <c r="DU209" s="1"/>
      <c r="DV209" s="1"/>
      <c r="DW209" s="1"/>
      <c r="DX209" s="1"/>
      <c r="DY209" s="1"/>
      <c r="DZ209" s="1"/>
      <c r="EA209" s="1"/>
    </row>
    <row r="210" spans="1:131" x14ac:dyDescent="0.3">
      <c r="A210">
        <v>9096510</v>
      </c>
      <c r="B210" s="1" t="s">
        <v>422</v>
      </c>
      <c r="C210" s="1" t="s">
        <v>24</v>
      </c>
      <c r="D210" s="1">
        <v>2021</v>
      </c>
      <c r="E210" s="1">
        <v>4</v>
      </c>
      <c r="F210" s="10">
        <f>Table3[[#This Row],[First season 
with SF]]+Table3[[#This Row],['# Services 
provided]]</f>
        <v>9</v>
      </c>
      <c r="G210" s="26">
        <f>(Table3[[#This Row],[Total Income 
(Race + Price 
sold + Offs - maintenance cost)]]-Table3[[#This Row],[Price 
Bought]])/Table3[[#This Row],[Price 
Bought]]</f>
        <v>7.2255706666666661</v>
      </c>
      <c r="H210" s="31">
        <f>Table3[[#This Row],[Race 
earnings]]+Table3[[#This Row],[Price 
Sold]]-Table3[[#This Row],[Maintenance cost]]+Table3[[#This Row],[Total 
profit (Income - cost)]]</f>
        <v>740301.36</v>
      </c>
      <c r="I210" s="3">
        <f>_xlfn.IFNA(VLOOKUP(Table3[[#This Row],[damId]],Sheet1!$A$2:$M$970,5, FALSE), VLOOKUP(Table3[[#This Row],[dam]],Sheet1!$B$2:$M$970,4, FALSE))</f>
        <v>0</v>
      </c>
      <c r="J210" s="3">
        <f>_xlfn.IFNA(VLOOKUP(Table3[[#This Row],[damId]],Sheet1!$A$2:$M$970,13, FALSE), VLOOKUP(Table3[[#This Row],[dam]],Sheet1!$B$2:$M$970,13, FALSE))</f>
        <v>-90000</v>
      </c>
      <c r="K210" s="3">
        <f>_xlfn.IFNA(VLOOKUP(Table3[[#This Row],[damId]],Sheet1!$A$2:$M$970,11, FALSE), VLOOKUP(Table3[[#This Row],[dam]],Sheet1!$B$2:$M$970,11, FALSE))</f>
        <v>90000</v>
      </c>
      <c r="L210" s="3">
        <f>_xlfn.IFNA(VLOOKUP(Table3[[#This Row],[damId]],Sheet1!$A$2:$M$970,12, FALSE), VLOOKUP(Table3[[#This Row],[dam]],Sheet1!$B$2:$M$970,12, FALSE))</f>
        <v>0</v>
      </c>
      <c r="M210" s="3">
        <f>_xlfn.IFNA(VLOOKUP(Table3[[#This Row],[damId]],Sheet1!$A$2:$T$970,20, FALSE), VLOOKUP(Table3[[#This Row],[dam]],Sheet1!$B$2:$T$970,20, FALSE))*Sheet1!$AD$3</f>
        <v>64109.594999999994</v>
      </c>
      <c r="N210" s="3">
        <f>Table3[[#This Row],[Total 
income (Earnings + value - stud fee)]]-Table3[[#This Row],[Maintenance cost ]]</f>
        <v>804410.95499999996</v>
      </c>
      <c r="O210" s="3">
        <f>SUM(Table3[[#This Row],[income1]:[income12]])</f>
        <v>825000</v>
      </c>
      <c r="P210" s="3">
        <f>_xlfn.IFNA(VLOOKUP(Table3[[#This Row],[damId]],Sheet1!$A$2:$Y$970,23, FALSE), VLOOKUP(Table3[[#This Row],[dam]],Sheet1!$B$2:$Y$970,23, FALSE))*Sheet1!$AD$3</f>
        <v>20589.045000000002</v>
      </c>
      <c r="Q210" s="3">
        <f>SUM(Table3[[#This Row],[earningsInRaces1]:[earningsInRaces12]])</f>
        <v>0</v>
      </c>
      <c r="R210" s="3">
        <f>SUM(Table3[[#This Row],[auctionPrice1]:[auctionPrice12]])</f>
        <v>1210000</v>
      </c>
      <c r="S210" s="3">
        <f>SUM(Table3[[#This Row],[studFeeUSD1]:[studFeeUSD12]])</f>
        <v>-385000</v>
      </c>
      <c r="T210" s="7">
        <f>COUNT(Table3[[#This Row],[successfulService1]:[successfulService12]])</f>
        <v>5</v>
      </c>
      <c r="U210" s="7">
        <f>SUM(Table3[[#This Row],[successfulService1]:[successfulService12]])</f>
        <v>3</v>
      </c>
      <c r="V210" s="7">
        <f>SUM(Table3[[#This Row],[soldInAuction1]:[soldInAuction12]])</f>
        <v>2</v>
      </c>
      <c r="W210" s="7">
        <f>SUM(Table3[[#This Row],[foreignHorse1]:[foreignHorse12]])</f>
        <v>0</v>
      </c>
      <c r="X210" s="3">
        <v>360000</v>
      </c>
      <c r="Y210" s="3">
        <v>-15000</v>
      </c>
      <c r="Z210" s="3">
        <v>760000</v>
      </c>
      <c r="AA210" s="3">
        <v>-80000</v>
      </c>
      <c r="AB210" s="3">
        <v>-200000</v>
      </c>
      <c r="AC210" s="3"/>
      <c r="AD210" s="3"/>
      <c r="AE210" s="3"/>
      <c r="AF210" s="3"/>
      <c r="AG210" s="3"/>
      <c r="AH210" s="3"/>
      <c r="AI210" s="3"/>
      <c r="AJ210" s="3">
        <v>0</v>
      </c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>
        <v>360000</v>
      </c>
      <c r="AW210" s="3"/>
      <c r="AX210" s="3">
        <v>850000</v>
      </c>
      <c r="AY210" s="3"/>
      <c r="AZ210" s="3"/>
      <c r="BA210" s="3"/>
      <c r="BB210" s="3"/>
      <c r="BC210" s="3"/>
      <c r="BD210" s="3"/>
      <c r="BE210" s="3"/>
      <c r="BF210" s="3"/>
      <c r="BG210" s="3"/>
      <c r="BH210" s="3">
        <v>0</v>
      </c>
      <c r="BI210" s="3">
        <v>-15000</v>
      </c>
      <c r="BJ210" s="3">
        <v>-90000</v>
      </c>
      <c r="BK210" s="3">
        <v>-80000</v>
      </c>
      <c r="BL210" s="3">
        <v>-200000</v>
      </c>
      <c r="BM210" s="3"/>
      <c r="BN210" s="3"/>
      <c r="BO210" s="3"/>
      <c r="BP210" s="3"/>
      <c r="BQ210" s="3"/>
      <c r="BR210" s="3"/>
      <c r="BS210" s="3"/>
      <c r="BT210" s="1">
        <v>0</v>
      </c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>
        <v>1</v>
      </c>
      <c r="CG210" s="1">
        <v>0</v>
      </c>
      <c r="CH210" s="1">
        <v>1</v>
      </c>
      <c r="CI210" s="1">
        <v>1</v>
      </c>
      <c r="CJ210" s="1">
        <v>0</v>
      </c>
      <c r="CK210" s="1"/>
      <c r="CL210" s="1"/>
      <c r="CM210" s="1"/>
      <c r="CN210" s="1"/>
      <c r="CO210" s="1"/>
      <c r="CP210" s="1"/>
      <c r="CQ210" s="1"/>
      <c r="CR210" s="1">
        <v>1</v>
      </c>
      <c r="CS210" s="1">
        <v>0</v>
      </c>
      <c r="CT210" s="1">
        <v>1</v>
      </c>
      <c r="CU210" s="1">
        <v>0</v>
      </c>
      <c r="CV210" s="1">
        <v>0</v>
      </c>
      <c r="CW210" s="1"/>
      <c r="CX210" s="1"/>
      <c r="CY210" s="1"/>
      <c r="CZ210" s="1"/>
      <c r="DA210" s="1"/>
      <c r="DB210" s="1"/>
      <c r="DC210" s="1"/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/>
      <c r="DJ210" s="1"/>
      <c r="DK210" s="1"/>
      <c r="DL210" s="1"/>
      <c r="DM210" s="1"/>
      <c r="DN210" s="1"/>
      <c r="DO210" s="1"/>
      <c r="DP210" s="1">
        <v>4</v>
      </c>
      <c r="DQ210" s="1">
        <v>5</v>
      </c>
      <c r="DR210" s="1">
        <v>6</v>
      </c>
      <c r="DS210" s="1">
        <v>7</v>
      </c>
      <c r="DT210" s="1">
        <v>8</v>
      </c>
      <c r="DU210" s="1"/>
      <c r="DV210" s="1"/>
      <c r="DW210" s="1"/>
      <c r="DX210" s="1"/>
      <c r="DY210" s="1"/>
      <c r="DZ210" s="1"/>
      <c r="EA210" s="1"/>
    </row>
    <row r="211" spans="1:131" x14ac:dyDescent="0.3">
      <c r="A211">
        <v>9709845</v>
      </c>
      <c r="B211" s="1" t="s">
        <v>678</v>
      </c>
      <c r="C211" s="1" t="s">
        <v>139</v>
      </c>
      <c r="D211" s="1">
        <v>2021</v>
      </c>
      <c r="E211" s="1">
        <v>1</v>
      </c>
      <c r="F211" s="10">
        <f>Table3[[#This Row],[First season 
with SF]]+Table3[[#This Row],['# Services 
provided]]</f>
        <v>3</v>
      </c>
      <c r="G211" s="26">
        <f>(Table3[[#This Row],[Total Income 
(Race + Price 
sold + Offs - maintenance cost)]]-Table3[[#This Row],[Price 
Bought]])/Table3[[#This Row],[Price 
Bought]]</f>
        <v>-3.3933257446808511</v>
      </c>
      <c r="H211" s="31">
        <f>Table3[[#This Row],[Race 
earnings]]+Table3[[#This Row],[Price 
Sold]]-Table3[[#This Row],[Maintenance cost]]+Table3[[#This Row],[Total 
profit (Income - cost)]]</f>
        <v>-112486.31</v>
      </c>
      <c r="I211" s="3">
        <f>_xlfn.IFNA(VLOOKUP(Table3[[#This Row],[damId]],Sheet1!$A$2:$M$970,5, FALSE), VLOOKUP(Table3[[#This Row],[dam]],Sheet1!$B$2:$M$970,4, FALSE))</f>
        <v>0</v>
      </c>
      <c r="J211" s="3">
        <f>_xlfn.IFNA(VLOOKUP(Table3[[#This Row],[damId]],Sheet1!$A$2:$M$970,13, FALSE), VLOOKUP(Table3[[#This Row],[dam]],Sheet1!$B$2:$M$970,13, FALSE))</f>
        <v>-47000</v>
      </c>
      <c r="K211" s="3">
        <f>_xlfn.IFNA(VLOOKUP(Table3[[#This Row],[damId]],Sheet1!$A$2:$M$970,11, FALSE), VLOOKUP(Table3[[#This Row],[dam]],Sheet1!$B$2:$M$970,11, FALSE))</f>
        <v>47000</v>
      </c>
      <c r="L211" s="3">
        <f>_xlfn.IFNA(VLOOKUP(Table3[[#This Row],[damId]],Sheet1!$A$2:$M$970,12, FALSE), VLOOKUP(Table3[[#This Row],[dam]],Sheet1!$B$2:$M$970,12, FALSE))</f>
        <v>0</v>
      </c>
      <c r="M211" s="3">
        <f>_xlfn.IFNA(VLOOKUP(Table3[[#This Row],[damId]],Sheet1!$A$2:$T$970,20, FALSE), VLOOKUP(Table3[[#This Row],[dam]],Sheet1!$B$2:$T$970,20, FALSE))*Sheet1!$AD$3</f>
        <v>76520.55</v>
      </c>
      <c r="N211" s="3">
        <f>Table3[[#This Row],[Total 
income (Earnings + value - stud fee)]]-Table3[[#This Row],[Maintenance cost ]]</f>
        <v>-35965.759999999995</v>
      </c>
      <c r="O211" s="3">
        <f>SUM(Table3[[#This Row],[income1]:[income12]])</f>
        <v>-9500</v>
      </c>
      <c r="P211" s="3">
        <f>_xlfn.IFNA(VLOOKUP(Table3[[#This Row],[damId]],Sheet1!$A$2:$Y$970,23, FALSE), VLOOKUP(Table3[[#This Row],[dam]],Sheet1!$B$2:$Y$970,23, FALSE))*Sheet1!$AD$3</f>
        <v>26465.759999999998</v>
      </c>
      <c r="Q211" s="3">
        <f>SUM(Table3[[#This Row],[earningsInRaces1]:[earningsInRaces12]])</f>
        <v>0</v>
      </c>
      <c r="R211" s="3">
        <f>SUM(Table3[[#This Row],[auctionPrice1]:[auctionPrice12]])</f>
        <v>28000</v>
      </c>
      <c r="S211" s="3">
        <f>SUM(Table3[[#This Row],[studFeeUSD1]:[studFeeUSD12]])</f>
        <v>-37500</v>
      </c>
      <c r="T211" s="7">
        <f>COUNT(Table3[[#This Row],[successfulService1]:[successfulService12]])</f>
        <v>2</v>
      </c>
      <c r="U211" s="7">
        <f>SUM(Table3[[#This Row],[successfulService1]:[successfulService12]])</f>
        <v>2</v>
      </c>
      <c r="V211" s="7">
        <f>SUM(Table3[[#This Row],[soldInAuction1]:[soldInAuction12]])</f>
        <v>2</v>
      </c>
      <c r="W211" s="7">
        <f>SUM(Table3[[#This Row],[foreignHorse1]:[foreignHorse12]])</f>
        <v>0</v>
      </c>
      <c r="X211" s="3">
        <v>-2000</v>
      </c>
      <c r="Y211" s="3">
        <v>-7500</v>
      </c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>
        <v>0</v>
      </c>
      <c r="AK211" s="3">
        <v>0</v>
      </c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>
        <v>18000</v>
      </c>
      <c r="AW211" s="3">
        <v>10000</v>
      </c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>
        <v>-20000</v>
      </c>
      <c r="BI211" s="3">
        <v>-17500</v>
      </c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1">
        <v>0</v>
      </c>
      <c r="BU211" s="1">
        <v>0</v>
      </c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>
        <v>1</v>
      </c>
      <c r="CG211" s="1">
        <v>1</v>
      </c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>
        <v>1</v>
      </c>
      <c r="CS211" s="1">
        <v>1</v>
      </c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>
        <v>0</v>
      </c>
      <c r="DE211" s="1">
        <v>0</v>
      </c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>
        <v>1</v>
      </c>
      <c r="DQ211" s="1">
        <v>2</v>
      </c>
      <c r="DR211" s="1"/>
      <c r="DS211" s="1"/>
      <c r="DT211" s="1"/>
      <c r="DU211" s="1"/>
      <c r="DV211" s="1"/>
      <c r="DW211" s="1"/>
      <c r="DX211" s="1"/>
      <c r="DY211" s="1"/>
      <c r="DZ211" s="1"/>
      <c r="EA211" s="1"/>
    </row>
    <row r="212" spans="1:131" x14ac:dyDescent="0.3">
      <c r="A212">
        <v>9728544</v>
      </c>
      <c r="B212" s="1" t="s">
        <v>680</v>
      </c>
      <c r="C212" s="1" t="s">
        <v>139</v>
      </c>
      <c r="D212" s="1">
        <v>2021</v>
      </c>
      <c r="E212" s="1">
        <v>1</v>
      </c>
      <c r="F212" s="10">
        <f>Table3[[#This Row],[First season 
with SF]]+Table3[[#This Row],['# Services 
provided]]</f>
        <v>2</v>
      </c>
      <c r="G212" s="26">
        <f>(Table3[[#This Row],[Total Income 
(Race + Price 
sold + Offs - maintenance cost)]]-Table3[[#This Row],[Price 
Bought]])/Table3[[#This Row],[Price 
Bought]]</f>
        <v>1.2276164520000001</v>
      </c>
      <c r="H212" s="31">
        <f>Table3[[#This Row],[Race 
earnings]]+Table3[[#This Row],[Price 
Sold]]-Table3[[#This Row],[Maintenance cost]]+Table3[[#This Row],[Total 
profit (Income - cost)]]</f>
        <v>556904.11300000001</v>
      </c>
      <c r="I212" s="3">
        <f>_xlfn.IFNA(VLOOKUP(Table3[[#This Row],[damId]],Sheet1!$A$2:$M$970,5, FALSE), VLOOKUP(Table3[[#This Row],[dam]],Sheet1!$B$2:$M$970,4, FALSE))</f>
        <v>0</v>
      </c>
      <c r="J212" s="3">
        <f>_xlfn.IFNA(VLOOKUP(Table3[[#This Row],[damId]],Sheet1!$A$2:$M$970,13, FALSE), VLOOKUP(Table3[[#This Row],[dam]],Sheet1!$B$2:$M$970,13, FALSE))</f>
        <v>350000</v>
      </c>
      <c r="K212" s="3">
        <f>_xlfn.IFNA(VLOOKUP(Table3[[#This Row],[damId]],Sheet1!$A$2:$M$970,11, FALSE), VLOOKUP(Table3[[#This Row],[dam]],Sheet1!$B$2:$M$970,11, FALSE))</f>
        <v>250000</v>
      </c>
      <c r="L212" s="3">
        <f>_xlfn.IFNA(VLOOKUP(Table3[[#This Row],[damId]],Sheet1!$A$2:$M$970,12, FALSE), VLOOKUP(Table3[[#This Row],[dam]],Sheet1!$B$2:$M$970,12, FALSE))</f>
        <v>600000</v>
      </c>
      <c r="M212" s="3">
        <f>_xlfn.IFNA(VLOOKUP(Table3[[#This Row],[damId]],Sheet1!$A$2:$T$970,20, FALSE), VLOOKUP(Table3[[#This Row],[dam]],Sheet1!$B$2:$T$970,20, FALSE))*Sheet1!$AD$3</f>
        <v>27410.954999999998</v>
      </c>
      <c r="N212" s="3">
        <f>Table3[[#This Row],[Total 
income (Earnings + value - stud fee)]]-Table3[[#This Row],[Maintenance cost ]]</f>
        <v>-15684.932000000001</v>
      </c>
      <c r="O212" s="3">
        <f>SUM(Table3[[#This Row],[income1]:[income12]])</f>
        <v>-2000</v>
      </c>
      <c r="P212" s="3">
        <f>_xlfn.IFNA(VLOOKUP(Table3[[#This Row],[damId]],Sheet1!$A$2:$Y$970,23, FALSE), VLOOKUP(Table3[[#This Row],[dam]],Sheet1!$B$2:$Y$970,23, FALSE))*Sheet1!$AD$3</f>
        <v>13684.932000000001</v>
      </c>
      <c r="Q212" s="3">
        <f>SUM(Table3[[#This Row],[earningsInRaces1]:[earningsInRaces12]])</f>
        <v>0</v>
      </c>
      <c r="R212" s="3">
        <f>SUM(Table3[[#This Row],[auctionPrice1]:[auctionPrice12]])</f>
        <v>18000</v>
      </c>
      <c r="S212" s="3">
        <f>SUM(Table3[[#This Row],[studFeeUSD1]:[studFeeUSD12]])</f>
        <v>-20000</v>
      </c>
      <c r="T212" s="7">
        <f>COUNT(Table3[[#This Row],[successfulService1]:[successfulService12]])</f>
        <v>1</v>
      </c>
      <c r="U212" s="7">
        <f>SUM(Table3[[#This Row],[successfulService1]:[successfulService12]])</f>
        <v>1</v>
      </c>
      <c r="V212" s="7">
        <f>SUM(Table3[[#This Row],[soldInAuction1]:[soldInAuction12]])</f>
        <v>1</v>
      </c>
      <c r="W212" s="7">
        <f>SUM(Table3[[#This Row],[foreignHorse1]:[foreignHorse12]])</f>
        <v>0</v>
      </c>
      <c r="X212" s="3">
        <v>-2000</v>
      </c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>
        <v>0</v>
      </c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>
        <v>18000</v>
      </c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>
        <v>-20000</v>
      </c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1">
        <v>0</v>
      </c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>
        <v>1</v>
      </c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>
        <v>1</v>
      </c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>
        <v>0</v>
      </c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>
        <v>1</v>
      </c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</row>
    <row r="213" spans="1:131" x14ac:dyDescent="0.3">
      <c r="A213">
        <v>9935318</v>
      </c>
      <c r="B213" s="1" t="s">
        <v>754</v>
      </c>
      <c r="C213" s="1" t="s">
        <v>139</v>
      </c>
      <c r="D213" s="1">
        <v>2021</v>
      </c>
      <c r="E213" s="1">
        <v>1</v>
      </c>
      <c r="F213" s="10">
        <f>Table3[[#This Row],[First season 
with SF]]+Table3[[#This Row],['# Services 
provided]]</f>
        <v>4</v>
      </c>
      <c r="G213" s="26">
        <f>(Table3[[#This Row],[Total Income 
(Race + Price 
sold + Offs - maintenance cost)]]-Table3[[#This Row],[Price 
Bought]])/Table3[[#This Row],[Price 
Bought]]</f>
        <v>9.8851264000000008</v>
      </c>
      <c r="H213" s="31">
        <f>Table3[[#This Row],[Race 
earnings]]+Table3[[#This Row],[Price 
Sold]]-Table3[[#This Row],[Maintenance cost]]+Table3[[#This Row],[Total 
profit (Income - cost)]]</f>
        <v>544256.32000000007</v>
      </c>
      <c r="I213" s="3">
        <f>_xlfn.IFNA(VLOOKUP(Table3[[#This Row],[damId]],Sheet1!$A$2:$M$970,5, FALSE), VLOOKUP(Table3[[#This Row],[dam]],Sheet1!$B$2:$M$970,4, FALSE))</f>
        <v>0</v>
      </c>
      <c r="J213" s="3">
        <f>_xlfn.IFNA(VLOOKUP(Table3[[#This Row],[damId]],Sheet1!$A$2:$M$970,13, FALSE), VLOOKUP(Table3[[#This Row],[dam]],Sheet1!$B$2:$M$970,13, FALSE))</f>
        <v>-50000</v>
      </c>
      <c r="K213" s="3">
        <f>_xlfn.IFNA(VLOOKUP(Table3[[#This Row],[damId]],Sheet1!$A$2:$M$970,11, FALSE), VLOOKUP(Table3[[#This Row],[dam]],Sheet1!$B$2:$M$970,11, FALSE))</f>
        <v>50000</v>
      </c>
      <c r="L213" s="3">
        <f>_xlfn.IFNA(VLOOKUP(Table3[[#This Row],[damId]],Sheet1!$A$2:$M$970,12, FALSE), VLOOKUP(Table3[[#This Row],[dam]],Sheet1!$B$2:$M$970,12, FALSE))</f>
        <v>0</v>
      </c>
      <c r="M213" s="3">
        <f>_xlfn.IFNA(VLOOKUP(Table3[[#This Row],[damId]],Sheet1!$A$2:$T$970,20, FALSE), VLOOKUP(Table3[[#This Row],[dam]],Sheet1!$B$2:$T$970,20, FALSE))*Sheet1!$AD$3</f>
        <v>79150.679999999993</v>
      </c>
      <c r="N213" s="3">
        <f>Table3[[#This Row],[Total 
income (Earnings + value - stud fee)]]-Table3[[#This Row],[Maintenance cost ]]</f>
        <v>623407</v>
      </c>
      <c r="O213" s="3">
        <f>SUM(Table3[[#This Row],[income1]:[income12]])</f>
        <v>623407</v>
      </c>
      <c r="P213" s="3">
        <f>_xlfn.IFNA(VLOOKUP(Table3[[#This Row],[damId]],Sheet1!$A$2:$Y$970,23, FALSE), VLOOKUP(Table3[[#This Row],[dam]],Sheet1!$B$2:$Y$970,23, FALSE))*Sheet1!$AD$3</f>
        <v>0</v>
      </c>
      <c r="Q213" s="3">
        <f>SUM(Table3[[#This Row],[earningsInRaces1]:[earningsInRaces12]])</f>
        <v>0</v>
      </c>
      <c r="R213" s="3">
        <f>SUM(Table3[[#This Row],[auctionPrice1]:[auctionPrice12]])</f>
        <v>623407</v>
      </c>
      <c r="S213" s="3">
        <f>SUM(Table3[[#This Row],[studFeeUSD1]:[studFeeUSD12]])</f>
        <v>0</v>
      </c>
      <c r="T213" s="7">
        <f>COUNT(Table3[[#This Row],[successfulService1]:[successfulService12]])</f>
        <v>3</v>
      </c>
      <c r="U213" s="7">
        <f>SUM(Table3[[#This Row],[successfulService1]:[successfulService12]])</f>
        <v>3</v>
      </c>
      <c r="V213" s="7">
        <f>SUM(Table3[[#This Row],[soldInAuction1]:[soldInAuction12]])</f>
        <v>2</v>
      </c>
      <c r="W213" s="7">
        <f>SUM(Table3[[#This Row],[foreignHorse1]:[foreignHorse12]])</f>
        <v>0</v>
      </c>
      <c r="X213" s="3">
        <v>48391</v>
      </c>
      <c r="Y213" s="3">
        <v>0</v>
      </c>
      <c r="Z213" s="3">
        <v>575016</v>
      </c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>
        <v>48391</v>
      </c>
      <c r="AW213" s="3"/>
      <c r="AX213" s="3">
        <v>575016</v>
      </c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>
        <v>1</v>
      </c>
      <c r="CG213" s="1">
        <v>1</v>
      </c>
      <c r="CH213" s="1">
        <v>1</v>
      </c>
      <c r="CI213" s="1"/>
      <c r="CJ213" s="1"/>
      <c r="CK213" s="1"/>
      <c r="CL213" s="1"/>
      <c r="CM213" s="1"/>
      <c r="CN213" s="1"/>
      <c r="CO213" s="1"/>
      <c r="CP213" s="1"/>
      <c r="CQ213" s="1"/>
      <c r="CR213" s="1">
        <v>1</v>
      </c>
      <c r="CS213" s="1">
        <v>0</v>
      </c>
      <c r="CT213" s="1">
        <v>1</v>
      </c>
      <c r="CU213" s="1"/>
      <c r="CV213" s="1"/>
      <c r="CW213" s="1"/>
      <c r="CX213" s="1"/>
      <c r="CY213" s="1"/>
      <c r="CZ213" s="1"/>
      <c r="DA213" s="1"/>
      <c r="DB213" s="1"/>
      <c r="DC213" s="1"/>
      <c r="DD213" s="1">
        <v>0</v>
      </c>
      <c r="DE213" s="1">
        <v>0</v>
      </c>
      <c r="DF213" s="1">
        <v>0</v>
      </c>
      <c r="DG213" s="1"/>
      <c r="DH213" s="1"/>
      <c r="DI213" s="1"/>
      <c r="DJ213" s="1"/>
      <c r="DK213" s="1"/>
      <c r="DL213" s="1"/>
      <c r="DM213" s="1"/>
      <c r="DN213" s="1"/>
      <c r="DO213" s="1"/>
      <c r="DP213" s="1">
        <v>1</v>
      </c>
      <c r="DQ213" s="1">
        <v>2</v>
      </c>
      <c r="DR213" s="1">
        <v>3</v>
      </c>
      <c r="DS213" s="1"/>
      <c r="DT213" s="1"/>
      <c r="DU213" s="1"/>
      <c r="DV213" s="1"/>
      <c r="DW213" s="1"/>
      <c r="DX213" s="1"/>
      <c r="DY213" s="1"/>
      <c r="DZ213" s="1"/>
      <c r="EA213" s="1"/>
    </row>
    <row r="214" spans="1:131" x14ac:dyDescent="0.3">
      <c r="A214">
        <v>10087445</v>
      </c>
      <c r="B214" s="1" t="s">
        <v>798</v>
      </c>
      <c r="C214" s="1" t="s">
        <v>24</v>
      </c>
      <c r="D214" s="1">
        <v>2021</v>
      </c>
      <c r="E214" s="1">
        <v>2</v>
      </c>
      <c r="F214" s="10">
        <f>Table3[[#This Row],[First season 
with SF]]+Table3[[#This Row],['# Services 
provided]]</f>
        <v>7</v>
      </c>
      <c r="G214" s="26">
        <f>(Table3[[#This Row],[Total Income 
(Race + Price 
sold + Offs - maintenance cost)]]-Table3[[#This Row],[Price 
Bought]])/Table3[[#This Row],[Price 
Bought]]</f>
        <v>-1.6555876315789475</v>
      </c>
      <c r="H214" s="31">
        <f>Table3[[#This Row],[Race 
earnings]]+Table3[[#This Row],[Price 
Sold]]-Table3[[#This Row],[Maintenance cost]]+Table3[[#This Row],[Total 
profit (Income - cost)]]</f>
        <v>-62280.824999999997</v>
      </c>
      <c r="I214" s="3">
        <f>_xlfn.IFNA(VLOOKUP(Table3[[#This Row],[damId]],Sheet1!$A$2:$M$970,5, FALSE), VLOOKUP(Table3[[#This Row],[dam]],Sheet1!$B$2:$M$970,4, FALSE))</f>
        <v>0</v>
      </c>
      <c r="J214" s="3">
        <f>_xlfn.IFNA(VLOOKUP(Table3[[#This Row],[damId]],Sheet1!$A$2:$M$970,13, FALSE), VLOOKUP(Table3[[#This Row],[dam]],Sheet1!$B$2:$M$970,13, FALSE))</f>
        <v>-95000</v>
      </c>
      <c r="K214" s="3">
        <f>_xlfn.IFNA(VLOOKUP(Table3[[#This Row],[damId]],Sheet1!$A$2:$M$970,11, FALSE), VLOOKUP(Table3[[#This Row],[dam]],Sheet1!$B$2:$M$970,11, FALSE))</f>
        <v>95000</v>
      </c>
      <c r="L214" s="3">
        <f>_xlfn.IFNA(VLOOKUP(Table3[[#This Row],[damId]],Sheet1!$A$2:$M$970,12, FALSE), VLOOKUP(Table3[[#This Row],[dam]],Sheet1!$B$2:$M$970,12, FALSE))</f>
        <v>0</v>
      </c>
      <c r="M214" s="3">
        <f>_xlfn.IFNA(VLOOKUP(Table3[[#This Row],[damId]],Sheet1!$A$2:$T$970,20, FALSE), VLOOKUP(Table3[[#This Row],[dam]],Sheet1!$B$2:$T$970,20, FALSE))*Sheet1!$AD$3</f>
        <v>64109.594999999994</v>
      </c>
      <c r="N214" s="3">
        <f>Table3[[#This Row],[Total 
income (Earnings + value - stud fee)]]-Table3[[#This Row],[Maintenance cost ]]</f>
        <v>1828.7699999999968</v>
      </c>
      <c r="O214" s="3">
        <f>SUM(Table3[[#This Row],[income1]:[income12]])</f>
        <v>46500</v>
      </c>
      <c r="P214" s="3">
        <f>_xlfn.IFNA(VLOOKUP(Table3[[#This Row],[damId]],Sheet1!$A$2:$Y$970,23, FALSE), VLOOKUP(Table3[[#This Row],[dam]],Sheet1!$B$2:$Y$970,23, FALSE))*Sheet1!$AD$3</f>
        <v>44671.23</v>
      </c>
      <c r="Q214" s="3">
        <f>SUM(Table3[[#This Row],[earningsInRaces1]:[earningsInRaces12]])</f>
        <v>0</v>
      </c>
      <c r="R214" s="3">
        <f>SUM(Table3[[#This Row],[auctionPrice1]:[auctionPrice12]])</f>
        <v>181500</v>
      </c>
      <c r="S214" s="3">
        <f>SUM(Table3[[#This Row],[studFeeUSD1]:[studFeeUSD12]])</f>
        <v>-135000</v>
      </c>
      <c r="T214" s="7">
        <f>COUNT(Table3[[#This Row],[successfulService1]:[successfulService12]])</f>
        <v>5</v>
      </c>
      <c r="U214" s="7">
        <f>SUM(Table3[[#This Row],[successfulService1]:[successfulService12]])</f>
        <v>3</v>
      </c>
      <c r="V214" s="7">
        <f>SUM(Table3[[#This Row],[soldInAuction1]:[soldInAuction12]])</f>
        <v>2</v>
      </c>
      <c r="W214" s="7">
        <f>SUM(Table3[[#This Row],[foreignHorse1]:[foreignHorse12]])</f>
        <v>0</v>
      </c>
      <c r="X214" s="3">
        <v>180000</v>
      </c>
      <c r="Y214" s="3">
        <v>-13500</v>
      </c>
      <c r="Z214" s="3">
        <v>-30000</v>
      </c>
      <c r="AA214" s="3">
        <v>-30000</v>
      </c>
      <c r="AB214" s="3">
        <v>-60000</v>
      </c>
      <c r="AC214" s="3"/>
      <c r="AD214" s="3"/>
      <c r="AE214" s="3"/>
      <c r="AF214" s="3"/>
      <c r="AG214" s="3"/>
      <c r="AH214" s="3"/>
      <c r="AI214" s="3"/>
      <c r="AJ214" s="3">
        <v>0</v>
      </c>
      <c r="AK214" s="3">
        <v>0</v>
      </c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>
        <v>180000</v>
      </c>
      <c r="AW214" s="3">
        <v>1500</v>
      </c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>
        <v>0</v>
      </c>
      <c r="BI214" s="3">
        <v>-15000</v>
      </c>
      <c r="BJ214" s="3">
        <v>-30000</v>
      </c>
      <c r="BK214" s="3">
        <v>-30000</v>
      </c>
      <c r="BL214" s="3">
        <v>-60000</v>
      </c>
      <c r="BM214" s="3"/>
      <c r="BN214" s="3"/>
      <c r="BO214" s="3"/>
      <c r="BP214" s="3"/>
      <c r="BQ214" s="3"/>
      <c r="BR214" s="3"/>
      <c r="BS214" s="3"/>
      <c r="BT214" s="1">
        <v>0</v>
      </c>
      <c r="BU214" s="1">
        <v>0</v>
      </c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>
        <v>1</v>
      </c>
      <c r="CG214" s="1">
        <v>1</v>
      </c>
      <c r="CH214" s="1">
        <v>0</v>
      </c>
      <c r="CI214" s="1">
        <v>1</v>
      </c>
      <c r="CJ214" s="1">
        <v>0</v>
      </c>
      <c r="CK214" s="1"/>
      <c r="CL214" s="1"/>
      <c r="CM214" s="1"/>
      <c r="CN214" s="1"/>
      <c r="CO214" s="1"/>
      <c r="CP214" s="1"/>
      <c r="CQ214" s="1"/>
      <c r="CR214" s="1">
        <v>1</v>
      </c>
      <c r="CS214" s="1">
        <v>1</v>
      </c>
      <c r="CT214" s="1">
        <v>0</v>
      </c>
      <c r="CU214" s="1">
        <v>0</v>
      </c>
      <c r="CV214" s="1">
        <v>0</v>
      </c>
      <c r="CW214" s="1"/>
      <c r="CX214" s="1"/>
      <c r="CY214" s="1"/>
      <c r="CZ214" s="1"/>
      <c r="DA214" s="1"/>
      <c r="DB214" s="1"/>
      <c r="DC214" s="1"/>
      <c r="DD214" s="1">
        <v>0</v>
      </c>
      <c r="DE214" s="1">
        <v>0</v>
      </c>
      <c r="DF214" s="1">
        <v>0</v>
      </c>
      <c r="DG214" s="1">
        <v>0</v>
      </c>
      <c r="DH214" s="1">
        <v>0</v>
      </c>
      <c r="DI214" s="1"/>
      <c r="DJ214" s="1"/>
      <c r="DK214" s="1"/>
      <c r="DL214" s="1"/>
      <c r="DM214" s="1"/>
      <c r="DN214" s="1"/>
      <c r="DO214" s="1"/>
      <c r="DP214" s="1">
        <v>2</v>
      </c>
      <c r="DQ214" s="1">
        <v>3</v>
      </c>
      <c r="DR214" s="1">
        <v>4</v>
      </c>
      <c r="DS214" s="1">
        <v>5</v>
      </c>
      <c r="DT214" s="1">
        <v>6</v>
      </c>
      <c r="DU214" s="1"/>
      <c r="DV214" s="1"/>
      <c r="DW214" s="1"/>
      <c r="DX214" s="1"/>
      <c r="DY214" s="1"/>
      <c r="DZ214" s="1"/>
      <c r="EA214" s="1"/>
    </row>
    <row r="215" spans="1:131" x14ac:dyDescent="0.3">
      <c r="A215">
        <v>10100527</v>
      </c>
      <c r="B215" s="1" t="s">
        <v>804</v>
      </c>
      <c r="C215" s="1" t="s">
        <v>139</v>
      </c>
      <c r="D215" s="1">
        <v>2021</v>
      </c>
      <c r="E215" s="1">
        <v>1</v>
      </c>
      <c r="F215" s="10">
        <f>Table3[[#This Row],[First season 
with SF]]+Table3[[#This Row],['# Services 
provided]]</f>
        <v>4</v>
      </c>
      <c r="G215" s="26">
        <f>(Table3[[#This Row],[Total Income 
(Race + Price 
sold + Offs - maintenance cost)]]-Table3[[#This Row],[Price 
Bought]])/Table3[[#This Row],[Price 
Bought]]</f>
        <v>1.8376265428571432</v>
      </c>
      <c r="H215" s="31">
        <f>Table3[[#This Row],[Race 
earnings]]+Table3[[#This Row],[Price 
Sold]]-Table3[[#This Row],[Maintenance cost]]+Table3[[#This Row],[Total 
profit (Income - cost)]]</f>
        <v>496584.64500000008</v>
      </c>
      <c r="I215" s="3">
        <f>_xlfn.IFNA(VLOOKUP(Table3[[#This Row],[damId]],Sheet1!$A$2:$M$970,5, FALSE), VLOOKUP(Table3[[#This Row],[dam]],Sheet1!$B$2:$M$970,4, FALSE))</f>
        <v>12400</v>
      </c>
      <c r="J215" s="3">
        <f>_xlfn.IFNA(VLOOKUP(Table3[[#This Row],[damId]],Sheet1!$A$2:$M$970,13, FALSE), VLOOKUP(Table3[[#This Row],[dam]],Sheet1!$B$2:$M$970,13, FALSE))</f>
        <v>-175000</v>
      </c>
      <c r="K215" s="3">
        <f>_xlfn.IFNA(VLOOKUP(Table3[[#This Row],[damId]],Sheet1!$A$2:$M$970,11, FALSE), VLOOKUP(Table3[[#This Row],[dam]],Sheet1!$B$2:$M$970,11, FALSE))</f>
        <v>175000</v>
      </c>
      <c r="L215" s="3">
        <f>_xlfn.IFNA(VLOOKUP(Table3[[#This Row],[damId]],Sheet1!$A$2:$M$970,12, FALSE), VLOOKUP(Table3[[#This Row],[dam]],Sheet1!$B$2:$M$970,12, FALSE))</f>
        <v>0</v>
      </c>
      <c r="M215" s="3">
        <f>_xlfn.IFNA(VLOOKUP(Table3[[#This Row],[damId]],Sheet1!$A$2:$T$970,20, FALSE), VLOOKUP(Table3[[#This Row],[dam]],Sheet1!$B$2:$T$970,20, FALSE))*Sheet1!$AD$3</f>
        <v>79356.164999999994</v>
      </c>
      <c r="N215" s="3">
        <f>Table3[[#This Row],[Total 
income (Earnings + value - stud fee)]]-Table3[[#This Row],[Maintenance cost ]]</f>
        <v>563540.81000000006</v>
      </c>
      <c r="O215" s="3">
        <f>SUM(Table3[[#This Row],[income1]:[income12]])</f>
        <v>586677.80000000005</v>
      </c>
      <c r="P215" s="3">
        <f>_xlfn.IFNA(VLOOKUP(Table3[[#This Row],[damId]],Sheet1!$A$2:$Y$970,23, FALSE), VLOOKUP(Table3[[#This Row],[dam]],Sheet1!$B$2:$Y$970,23, FALSE))*Sheet1!$AD$3</f>
        <v>23136.989999999998</v>
      </c>
      <c r="Q215" s="3">
        <f>SUM(Table3[[#This Row],[earningsInRaces1]:[earningsInRaces12]])</f>
        <v>0</v>
      </c>
      <c r="R215" s="3">
        <f>SUM(Table3[[#This Row],[auctionPrice1]:[auctionPrice12]])</f>
        <v>914415</v>
      </c>
      <c r="S215" s="3">
        <f>SUM(Table3[[#This Row],[studFeeUSD1]:[studFeeUSD12]])</f>
        <v>-327737.2</v>
      </c>
      <c r="T215" s="7">
        <f>COUNT(Table3[[#This Row],[successfulService1]:[successfulService12]])</f>
        <v>3</v>
      </c>
      <c r="U215" s="7">
        <f>SUM(Table3[[#This Row],[successfulService1]:[successfulService12]])</f>
        <v>3</v>
      </c>
      <c r="V215" s="7">
        <f>SUM(Table3[[#This Row],[soldInAuction1]:[soldInAuction12]])</f>
        <v>3</v>
      </c>
      <c r="W215" s="7">
        <f>SUM(Table3[[#This Row],[foreignHorse1]:[foreignHorse12]])</f>
        <v>0</v>
      </c>
      <c r="X215" s="3">
        <v>-135000</v>
      </c>
      <c r="Y215" s="3">
        <v>425005.8</v>
      </c>
      <c r="Z215" s="3">
        <v>296672</v>
      </c>
      <c r="AA215" s="3"/>
      <c r="AB215" s="3"/>
      <c r="AC215" s="3"/>
      <c r="AD215" s="3"/>
      <c r="AE215" s="3"/>
      <c r="AF215" s="3"/>
      <c r="AG215" s="3"/>
      <c r="AH215" s="3"/>
      <c r="AI215" s="3"/>
      <c r="AJ215" s="3">
        <v>0</v>
      </c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>
        <v>65000</v>
      </c>
      <c r="AW215" s="3">
        <v>552743</v>
      </c>
      <c r="AX215" s="3">
        <v>296672</v>
      </c>
      <c r="AY215" s="3"/>
      <c r="AZ215" s="3"/>
      <c r="BA215" s="3"/>
      <c r="BB215" s="3"/>
      <c r="BC215" s="3"/>
      <c r="BD215" s="3"/>
      <c r="BE215" s="3"/>
      <c r="BF215" s="3"/>
      <c r="BG215" s="3"/>
      <c r="BH215" s="3">
        <v>-200000</v>
      </c>
      <c r="BI215" s="3">
        <v>-127737.2</v>
      </c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1">
        <v>0</v>
      </c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>
        <v>1</v>
      </c>
      <c r="CG215" s="1">
        <v>1</v>
      </c>
      <c r="CH215" s="1">
        <v>1</v>
      </c>
      <c r="CI215" s="1"/>
      <c r="CJ215" s="1"/>
      <c r="CK215" s="1"/>
      <c r="CL215" s="1"/>
      <c r="CM215" s="1"/>
      <c r="CN215" s="1"/>
      <c r="CO215" s="1"/>
      <c r="CP215" s="1"/>
      <c r="CQ215" s="1"/>
      <c r="CR215" s="1">
        <v>1</v>
      </c>
      <c r="CS215" s="1">
        <v>1</v>
      </c>
      <c r="CT215" s="1">
        <v>1</v>
      </c>
      <c r="CU215" s="1"/>
      <c r="CV215" s="1"/>
      <c r="CW215" s="1"/>
      <c r="CX215" s="1"/>
      <c r="CY215" s="1"/>
      <c r="CZ215" s="1"/>
      <c r="DA215" s="1"/>
      <c r="DB215" s="1"/>
      <c r="DC215" s="1"/>
      <c r="DD215" s="1">
        <v>0</v>
      </c>
      <c r="DE215" s="1">
        <v>0</v>
      </c>
      <c r="DF215" s="1">
        <v>0</v>
      </c>
      <c r="DG215" s="1"/>
      <c r="DH215" s="1"/>
      <c r="DI215" s="1"/>
      <c r="DJ215" s="1"/>
      <c r="DK215" s="1"/>
      <c r="DL215" s="1"/>
      <c r="DM215" s="1"/>
      <c r="DN215" s="1"/>
      <c r="DO215" s="1"/>
      <c r="DP215" s="1">
        <v>1</v>
      </c>
      <c r="DQ215" s="1">
        <v>2</v>
      </c>
      <c r="DR215" s="1">
        <v>3</v>
      </c>
      <c r="DS215" s="1"/>
      <c r="DT215" s="1"/>
      <c r="DU215" s="1"/>
      <c r="DV215" s="1"/>
      <c r="DW215" s="1"/>
      <c r="DX215" s="1"/>
      <c r="DY215" s="1"/>
      <c r="DZ215" s="1"/>
      <c r="EA215" s="1"/>
    </row>
    <row r="216" spans="1:131" x14ac:dyDescent="0.3">
      <c r="A216">
        <v>9473720</v>
      </c>
      <c r="B216" s="1" t="s">
        <v>555</v>
      </c>
      <c r="C216" s="1" t="s">
        <v>24</v>
      </c>
      <c r="D216" s="1">
        <v>2022</v>
      </c>
      <c r="E216" s="1">
        <v>1</v>
      </c>
      <c r="F216" s="10">
        <f>Table3[[#This Row],[First season 
with SF]]+Table3[[#This Row],['# Services 
provided]]</f>
        <v>2</v>
      </c>
      <c r="G216" s="26">
        <f>(Table3[[#This Row],[Total Income 
(Race + Price 
sold + Offs - maintenance cost)]]-Table3[[#This Row],[Price 
Bought]])/Table3[[#This Row],[Price 
Bought]]</f>
        <v>-1.4468243636363636</v>
      </c>
      <c r="H216" s="31">
        <f>Table3[[#This Row],[Race 
earnings]]+Table3[[#This Row],[Price 
Sold]]-Table3[[#This Row],[Maintenance cost]]+Table3[[#This Row],[Total 
profit (Income - cost)]]</f>
        <v>-49150.68</v>
      </c>
      <c r="I216" s="3">
        <f>_xlfn.IFNA(VLOOKUP(Table3[[#This Row],[damId]],Sheet1!$A$2:$M$970,5, FALSE), VLOOKUP(Table3[[#This Row],[dam]],Sheet1!$B$2:$M$970,4, FALSE))</f>
        <v>0</v>
      </c>
      <c r="J216" s="3">
        <f>_xlfn.IFNA(VLOOKUP(Table3[[#This Row],[damId]],Sheet1!$A$2:$M$970,13, FALSE), VLOOKUP(Table3[[#This Row],[dam]],Sheet1!$B$2:$M$970,13, FALSE))</f>
        <v>-110000</v>
      </c>
      <c r="K216" s="3">
        <f>_xlfn.IFNA(VLOOKUP(Table3[[#This Row],[damId]],Sheet1!$A$2:$M$970,11, FALSE), VLOOKUP(Table3[[#This Row],[dam]],Sheet1!$B$2:$M$970,11, FALSE))</f>
        <v>110000</v>
      </c>
      <c r="L216" s="3">
        <f>_xlfn.IFNA(VLOOKUP(Table3[[#This Row],[damId]],Sheet1!$A$2:$M$970,12, FALSE), VLOOKUP(Table3[[#This Row],[dam]],Sheet1!$B$2:$M$970,12, FALSE))</f>
        <v>0</v>
      </c>
      <c r="M216" s="3">
        <f>_xlfn.IFNA(VLOOKUP(Table3[[#This Row],[damId]],Sheet1!$A$2:$T$970,20, FALSE), VLOOKUP(Table3[[#This Row],[dam]],Sheet1!$B$2:$T$970,20, FALSE))*Sheet1!$AD$3</f>
        <v>49150.68</v>
      </c>
      <c r="N216" s="3">
        <f>Table3[[#This Row],[Total 
income (Earnings + value - stud fee)]]-Table3[[#This Row],[Maintenance cost ]]</f>
        <v>0</v>
      </c>
      <c r="O216" s="3">
        <f>SUM(Table3[[#This Row],[income1]:[income12]])</f>
        <v>0</v>
      </c>
      <c r="P216" s="3">
        <f>_xlfn.IFNA(VLOOKUP(Table3[[#This Row],[damId]],Sheet1!$A$2:$Y$970,23, FALSE), VLOOKUP(Table3[[#This Row],[dam]],Sheet1!$B$2:$Y$970,23, FALSE))*Sheet1!$AD$3</f>
        <v>0</v>
      </c>
      <c r="Q216" s="3">
        <f>SUM(Table3[[#This Row],[earningsInRaces1]:[earningsInRaces12]])</f>
        <v>0</v>
      </c>
      <c r="R216" s="3">
        <f>SUM(Table3[[#This Row],[auctionPrice1]:[auctionPrice12]])</f>
        <v>0</v>
      </c>
      <c r="S216" s="3">
        <f>SUM(Table3[[#This Row],[studFeeUSD1]:[studFeeUSD12]])</f>
        <v>0</v>
      </c>
      <c r="T216" s="7">
        <f>COUNT(Table3[[#This Row],[successfulService1]:[successfulService12]])</f>
        <v>1</v>
      </c>
      <c r="U216" s="7">
        <f>SUM(Table3[[#This Row],[successfulService1]:[successfulService12]])</f>
        <v>0</v>
      </c>
      <c r="V216" s="7">
        <f>SUM(Table3[[#This Row],[soldInAuction1]:[soldInAuction12]])</f>
        <v>0</v>
      </c>
      <c r="W216" s="7">
        <f>SUM(Table3[[#This Row],[foreignHorse1]:[foreignHorse12]])</f>
        <v>0</v>
      </c>
      <c r="X216" s="3">
        <v>0</v>
      </c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>
        <v>0</v>
      </c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>
        <v>0</v>
      </c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>
        <v>0</v>
      </c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>
        <v>0</v>
      </c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>
        <v>1</v>
      </c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</row>
    <row r="217" spans="1:131" x14ac:dyDescent="0.3">
      <c r="A217">
        <v>9689131</v>
      </c>
      <c r="B217" s="1" t="s">
        <v>653</v>
      </c>
      <c r="C217" s="1" t="s">
        <v>24</v>
      </c>
      <c r="D217" s="1">
        <v>2022</v>
      </c>
      <c r="E217" s="1">
        <v>3</v>
      </c>
      <c r="F217" s="10">
        <f>Table3[[#This Row],[First season 
with SF]]+Table3[[#This Row],['# Services 
provided]]</f>
        <v>5</v>
      </c>
      <c r="G217" s="26">
        <f>(Table3[[#This Row],[Total Income 
(Race + Price 
sold + Offs - maintenance cost)]]-Table3[[#This Row],[Price 
Bought]])/Table3[[#This Row],[Price 
Bought]]</f>
        <v>0.69222454285714274</v>
      </c>
      <c r="H217" s="31">
        <f>Table3[[#This Row],[Race 
earnings]]+Table3[[#This Row],[Price 
Sold]]-Table3[[#This Row],[Maintenance cost]]+Table3[[#This Row],[Total 
profit (Income - cost)]]</f>
        <v>296139.29499999998</v>
      </c>
      <c r="I217" s="3">
        <f>_xlfn.IFNA(VLOOKUP(Table3[[#This Row],[damId]],Sheet1!$A$2:$M$970,5, FALSE), VLOOKUP(Table3[[#This Row],[dam]],Sheet1!$B$2:$M$970,4, FALSE))</f>
        <v>0</v>
      </c>
      <c r="J217" s="3">
        <f>_xlfn.IFNA(VLOOKUP(Table3[[#This Row],[damId]],Sheet1!$A$2:$M$970,13, FALSE), VLOOKUP(Table3[[#This Row],[dam]],Sheet1!$B$2:$M$970,13, FALSE))</f>
        <v>135653</v>
      </c>
      <c r="K217" s="3">
        <f>_xlfn.IFNA(VLOOKUP(Table3[[#This Row],[damId]],Sheet1!$A$2:$M$970,11, FALSE), VLOOKUP(Table3[[#This Row],[dam]],Sheet1!$B$2:$M$970,11, FALSE))</f>
        <v>175000</v>
      </c>
      <c r="L217" s="3">
        <f>_xlfn.IFNA(VLOOKUP(Table3[[#This Row],[damId]],Sheet1!$A$2:$M$970,12, FALSE), VLOOKUP(Table3[[#This Row],[dam]],Sheet1!$B$2:$M$970,12, FALSE))</f>
        <v>310653</v>
      </c>
      <c r="M217" s="3">
        <f>_xlfn.IFNA(VLOOKUP(Table3[[#This Row],[damId]],Sheet1!$A$2:$T$970,20, FALSE), VLOOKUP(Table3[[#This Row],[dam]],Sheet1!$B$2:$T$970,20, FALSE))*Sheet1!$AD$3</f>
        <v>23013.704999999998</v>
      </c>
      <c r="N217" s="3">
        <f>Table3[[#This Row],[Total 
income (Earnings + value - stud fee)]]-Table3[[#This Row],[Maintenance cost ]]</f>
        <v>8500</v>
      </c>
      <c r="O217" s="3">
        <f>SUM(Table3[[#This Row],[income1]:[income12]])</f>
        <v>8500</v>
      </c>
      <c r="P217" s="3">
        <f>_xlfn.IFNA(VLOOKUP(Table3[[#This Row],[damId]],Sheet1!$A$2:$Y$970,23, FALSE), VLOOKUP(Table3[[#This Row],[dam]],Sheet1!$B$2:$Y$970,23, FALSE))*Sheet1!$AD$3</f>
        <v>0</v>
      </c>
      <c r="Q217" s="3">
        <f>SUM(Table3[[#This Row],[earningsInRaces1]:[earningsInRaces12]])</f>
        <v>0</v>
      </c>
      <c r="R217" s="3">
        <f>SUM(Table3[[#This Row],[auctionPrice1]:[auctionPrice12]])</f>
        <v>8500</v>
      </c>
      <c r="S217" s="3">
        <f>SUM(Table3[[#This Row],[studFeeUSD1]:[studFeeUSD12]])</f>
        <v>0</v>
      </c>
      <c r="T217" s="7">
        <f>COUNT(Table3[[#This Row],[successfulService1]:[successfulService12]])</f>
        <v>2</v>
      </c>
      <c r="U217" s="7">
        <f>SUM(Table3[[#This Row],[successfulService1]:[successfulService12]])</f>
        <v>2</v>
      </c>
      <c r="V217" s="7">
        <f>SUM(Table3[[#This Row],[soldInAuction1]:[soldInAuction12]])</f>
        <v>1</v>
      </c>
      <c r="W217" s="7">
        <f>SUM(Table3[[#This Row],[foreignHorse1]:[foreignHorse12]])</f>
        <v>0</v>
      </c>
      <c r="X217" s="3">
        <v>8500</v>
      </c>
      <c r="Y217" s="3">
        <v>0</v>
      </c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>
        <v>8500</v>
      </c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>
        <v>0</v>
      </c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>
        <v>1</v>
      </c>
      <c r="CG217" s="1">
        <v>1</v>
      </c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>
        <v>1</v>
      </c>
      <c r="CS217" s="1">
        <v>0</v>
      </c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>
        <v>0</v>
      </c>
      <c r="DE217" s="1">
        <v>0</v>
      </c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>
        <v>3</v>
      </c>
      <c r="DQ217" s="1">
        <v>4</v>
      </c>
      <c r="DR217" s="1"/>
      <c r="DS217" s="1"/>
      <c r="DT217" s="1"/>
      <c r="DU217" s="1"/>
      <c r="DV217" s="1"/>
      <c r="DW217" s="1"/>
      <c r="DX217" s="1"/>
      <c r="DY217" s="1"/>
      <c r="DZ217" s="1"/>
      <c r="EA217" s="1"/>
    </row>
    <row r="218" spans="1:131" x14ac:dyDescent="0.3">
      <c r="A218">
        <v>9790973</v>
      </c>
      <c r="B218" s="1" t="s">
        <v>693</v>
      </c>
      <c r="C218" s="1" t="s">
        <v>139</v>
      </c>
      <c r="D218" s="1">
        <v>2022</v>
      </c>
      <c r="E218" s="1">
        <v>1</v>
      </c>
      <c r="F218" s="10">
        <f>Table3[[#This Row],[First season 
with SF]]+Table3[[#This Row],['# Services 
provided]]</f>
        <v>2</v>
      </c>
      <c r="G218" s="26">
        <f>(Table3[[#This Row],[Total Income 
(Race + Price 
sold + Offs - maintenance cost)]]-Table3[[#This Row],[Price 
Bought]])/Table3[[#This Row],[Price 
Bought]]</f>
        <v>1.1991781500000001</v>
      </c>
      <c r="H218" s="31">
        <f>Table3[[#This Row],[Race 
earnings]]+Table3[[#This Row],[Price 
Sold]]-Table3[[#This Row],[Maintenance cost]]+Table3[[#This Row],[Total 
profit (Income - cost)]]</f>
        <v>219917.815</v>
      </c>
      <c r="I218" s="3">
        <f>_xlfn.IFNA(VLOOKUP(Table3[[#This Row],[damId]],Sheet1!$A$2:$M$970,5, FALSE), VLOOKUP(Table3[[#This Row],[dam]],Sheet1!$B$2:$M$970,4, FALSE))</f>
        <v>0</v>
      </c>
      <c r="J218" s="3">
        <f>_xlfn.IFNA(VLOOKUP(Table3[[#This Row],[damId]],Sheet1!$A$2:$M$970,13, FALSE), VLOOKUP(Table3[[#This Row],[dam]],Sheet1!$B$2:$M$970,13, FALSE))</f>
        <v>300000</v>
      </c>
      <c r="K218" s="3">
        <f>_xlfn.IFNA(VLOOKUP(Table3[[#This Row],[damId]],Sheet1!$A$2:$M$970,11, FALSE), VLOOKUP(Table3[[#This Row],[dam]],Sheet1!$B$2:$M$970,11, FALSE))</f>
        <v>100000</v>
      </c>
      <c r="L218" s="3">
        <f>_xlfn.IFNA(VLOOKUP(Table3[[#This Row],[damId]],Sheet1!$A$2:$M$970,12, FALSE), VLOOKUP(Table3[[#This Row],[dam]],Sheet1!$B$2:$M$970,12, FALSE))</f>
        <v>400000</v>
      </c>
      <c r="M218" s="3">
        <f>_xlfn.IFNA(VLOOKUP(Table3[[#This Row],[damId]],Sheet1!$A$2:$T$970,20, FALSE), VLOOKUP(Table3[[#This Row],[dam]],Sheet1!$B$2:$T$970,20, FALSE))*Sheet1!$AD$3</f>
        <v>30082.184999999998</v>
      </c>
      <c r="N218" s="3">
        <f>Table3[[#This Row],[Total 
income (Earnings + value - stud fee)]]-Table3[[#This Row],[Maintenance cost ]]</f>
        <v>-150000</v>
      </c>
      <c r="O218" s="3">
        <f>SUM(Table3[[#This Row],[income1]:[income12]])</f>
        <v>-150000</v>
      </c>
      <c r="P218" s="3">
        <f>_xlfn.IFNA(VLOOKUP(Table3[[#This Row],[damId]],Sheet1!$A$2:$Y$970,23, FALSE), VLOOKUP(Table3[[#This Row],[dam]],Sheet1!$B$2:$Y$970,23, FALSE))*Sheet1!$AD$3</f>
        <v>0</v>
      </c>
      <c r="Q218" s="3">
        <f>SUM(Table3[[#This Row],[earningsInRaces1]:[earningsInRaces12]])</f>
        <v>0</v>
      </c>
      <c r="R218" s="3">
        <f>SUM(Table3[[#This Row],[auctionPrice1]:[auctionPrice12]])</f>
        <v>0</v>
      </c>
      <c r="S218" s="3">
        <f>SUM(Table3[[#This Row],[studFeeUSD1]:[studFeeUSD12]])</f>
        <v>-150000</v>
      </c>
      <c r="T218" s="7">
        <f>COUNT(Table3[[#This Row],[successfulService1]:[successfulService12]])</f>
        <v>1</v>
      </c>
      <c r="U218" s="7">
        <f>SUM(Table3[[#This Row],[successfulService1]:[successfulService12]])</f>
        <v>0</v>
      </c>
      <c r="V218" s="7">
        <f>SUM(Table3[[#This Row],[soldInAuction1]:[soldInAuction12]])</f>
        <v>0</v>
      </c>
      <c r="W218" s="7">
        <f>SUM(Table3[[#This Row],[foreignHorse1]:[foreignHorse12]])</f>
        <v>0</v>
      </c>
      <c r="X218" s="3">
        <v>-150000</v>
      </c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>
        <v>-150000</v>
      </c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>
        <v>0</v>
      </c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>
        <v>0</v>
      </c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>
        <v>0</v>
      </c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>
        <v>1</v>
      </c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</row>
    <row r="219" spans="1:131" x14ac:dyDescent="0.3">
      <c r="A219">
        <v>10085409</v>
      </c>
      <c r="B219" s="1" t="s">
        <v>796</v>
      </c>
      <c r="C219" s="1" t="s">
        <v>139</v>
      </c>
      <c r="D219" s="1">
        <v>2022</v>
      </c>
      <c r="E219" s="1">
        <v>1</v>
      </c>
      <c r="F219" s="10">
        <f>Table3[[#This Row],[First season 
with SF]]+Table3[[#This Row],['# Services 
provided]]</f>
        <v>2</v>
      </c>
      <c r="G219" s="26">
        <f>(Table3[[#This Row],[Total Income 
(Race + Price 
sold + Offs - maintenance cost)]]-Table3[[#This Row],[Price 
Bought]])/Table3[[#This Row],[Price 
Bought]]</f>
        <v>2.0137115499999996</v>
      </c>
      <c r="H219" s="31">
        <f>Table3[[#This Row],[Race 
earnings]]+Table3[[#This Row],[Price 
Sold]]-Table3[[#This Row],[Maintenance cost]]+Table3[[#This Row],[Total 
profit (Income - cost)]]</f>
        <v>602742.30999999994</v>
      </c>
      <c r="I219" s="3">
        <f>_xlfn.IFNA(VLOOKUP(Table3[[#This Row],[damId]],Sheet1!$A$2:$M$970,5, FALSE), VLOOKUP(Table3[[#This Row],[dam]],Sheet1!$B$2:$M$970,4, FALSE))</f>
        <v>60000</v>
      </c>
      <c r="J219" s="3">
        <f>_xlfn.IFNA(VLOOKUP(Table3[[#This Row],[damId]],Sheet1!$A$2:$M$970,13, FALSE), VLOOKUP(Table3[[#This Row],[dam]],Sheet1!$B$2:$M$970,13, FALSE))</f>
        <v>240664</v>
      </c>
      <c r="K219" s="3">
        <f>_xlfn.IFNA(VLOOKUP(Table3[[#This Row],[damId]],Sheet1!$A$2:$M$970,11, FALSE), VLOOKUP(Table3[[#This Row],[dam]],Sheet1!$B$2:$M$970,11, FALSE))</f>
        <v>200000</v>
      </c>
      <c r="L219" s="3">
        <f>_xlfn.IFNA(VLOOKUP(Table3[[#This Row],[damId]],Sheet1!$A$2:$M$970,12, FALSE), VLOOKUP(Table3[[#This Row],[dam]],Sheet1!$B$2:$M$970,12, FALSE))</f>
        <v>440664</v>
      </c>
      <c r="M219" s="3">
        <f>_xlfn.IFNA(VLOOKUP(Table3[[#This Row],[damId]],Sheet1!$A$2:$T$970,20, FALSE), VLOOKUP(Table3[[#This Row],[dam]],Sheet1!$B$2:$T$970,20, FALSE))*Sheet1!$AD$3</f>
        <v>23095.89</v>
      </c>
      <c r="N219" s="3">
        <f>Table3[[#This Row],[Total 
income (Earnings + value - stud fee)]]-Table3[[#This Row],[Maintenance cost ]]</f>
        <v>125174.2</v>
      </c>
      <c r="O219" s="3">
        <f>SUM(Table3[[#This Row],[income1]:[income12]])</f>
        <v>125174.2</v>
      </c>
      <c r="P219" s="3">
        <f>_xlfn.IFNA(VLOOKUP(Table3[[#This Row],[damId]],Sheet1!$A$2:$Y$970,23, FALSE), VLOOKUP(Table3[[#This Row],[dam]],Sheet1!$B$2:$Y$970,23, FALSE))*Sheet1!$AD$3</f>
        <v>0</v>
      </c>
      <c r="Q219" s="3">
        <f>SUM(Table3[[#This Row],[earningsInRaces1]:[earningsInRaces12]])</f>
        <v>0</v>
      </c>
      <c r="R219" s="3">
        <f>SUM(Table3[[#This Row],[auctionPrice1]:[auctionPrice12]])</f>
        <v>227364</v>
      </c>
      <c r="S219" s="3">
        <f>SUM(Table3[[#This Row],[studFeeUSD1]:[studFeeUSD12]])</f>
        <v>-102189.8</v>
      </c>
      <c r="T219" s="7">
        <f>COUNT(Table3[[#This Row],[successfulService1]:[successfulService12]])</f>
        <v>1</v>
      </c>
      <c r="U219" s="7">
        <f>SUM(Table3[[#This Row],[successfulService1]:[successfulService12]])</f>
        <v>1</v>
      </c>
      <c r="V219" s="7">
        <f>SUM(Table3[[#This Row],[soldInAuction1]:[soldInAuction12]])</f>
        <v>1</v>
      </c>
      <c r="W219" s="7">
        <f>SUM(Table3[[#This Row],[foreignHorse1]:[foreignHorse12]])</f>
        <v>0</v>
      </c>
      <c r="X219" s="3">
        <v>125174.2</v>
      </c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>
        <v>227364</v>
      </c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>
        <v>-102189.8</v>
      </c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>
        <v>1</v>
      </c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>
        <v>1</v>
      </c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>
        <v>0</v>
      </c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>
        <v>1</v>
      </c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</row>
    <row r="220" spans="1:131" x14ac:dyDescent="0.3">
      <c r="A220">
        <v>10096184</v>
      </c>
      <c r="B220" s="1" t="s">
        <v>800</v>
      </c>
      <c r="C220" s="1" t="s">
        <v>139</v>
      </c>
      <c r="D220" s="1">
        <v>2022</v>
      </c>
      <c r="E220" s="1">
        <v>1</v>
      </c>
      <c r="F220" s="10">
        <f>Table3[[#This Row],[First season 
with SF]]+Table3[[#This Row],['# Services 
provided]]</f>
        <v>3</v>
      </c>
      <c r="G220" s="26">
        <f>(Table3[[#This Row],[Total Income 
(Race + Price 
sold + Offs - maintenance cost)]]-Table3[[#This Row],[Price 
Bought]])/Table3[[#This Row],[Price 
Bought]]</f>
        <v>-1.997009114285714</v>
      </c>
      <c r="H220" s="31">
        <f>Table3[[#This Row],[Race 
earnings]]+Table3[[#This Row],[Price 
Sold]]-Table3[[#This Row],[Maintenance cost]]+Table3[[#This Row],[Total 
profit (Income - cost)]]</f>
        <v>-174476.595</v>
      </c>
      <c r="I220" s="3">
        <f>_xlfn.IFNA(VLOOKUP(Table3[[#This Row],[damId]],Sheet1!$A$2:$M$970,5, FALSE), VLOOKUP(Table3[[#This Row],[dam]],Sheet1!$B$2:$M$970,4, FALSE))</f>
        <v>5000</v>
      </c>
      <c r="J220" s="3">
        <f>_xlfn.IFNA(VLOOKUP(Table3[[#This Row],[damId]],Sheet1!$A$2:$M$970,13, FALSE), VLOOKUP(Table3[[#This Row],[dam]],Sheet1!$B$2:$M$970,13, FALSE))</f>
        <v>-175000</v>
      </c>
      <c r="K220" s="3">
        <f>_xlfn.IFNA(VLOOKUP(Table3[[#This Row],[damId]],Sheet1!$A$2:$M$970,11, FALSE), VLOOKUP(Table3[[#This Row],[dam]],Sheet1!$B$2:$M$970,11, FALSE))</f>
        <v>175000</v>
      </c>
      <c r="L220" s="3">
        <f>_xlfn.IFNA(VLOOKUP(Table3[[#This Row],[damId]],Sheet1!$A$2:$M$970,12, FALSE), VLOOKUP(Table3[[#This Row],[dam]],Sheet1!$B$2:$M$970,12, FALSE))</f>
        <v>0</v>
      </c>
      <c r="M220" s="3">
        <f>_xlfn.IFNA(VLOOKUP(Table3[[#This Row],[damId]],Sheet1!$A$2:$T$970,20, FALSE), VLOOKUP(Table3[[#This Row],[dam]],Sheet1!$B$2:$T$970,20, FALSE))*Sheet1!$AD$3</f>
        <v>64109.594999999994</v>
      </c>
      <c r="N220" s="3">
        <f>Table3[[#This Row],[Total 
income (Earnings + value - stud fee)]]-Table3[[#This Row],[Maintenance cost ]]</f>
        <v>-115367</v>
      </c>
      <c r="O220" s="3">
        <f>SUM(Table3[[#This Row],[income1]:[income12]])</f>
        <v>-115367</v>
      </c>
      <c r="P220" s="3">
        <f>_xlfn.IFNA(VLOOKUP(Table3[[#This Row],[damId]],Sheet1!$A$2:$Y$970,23, FALSE), VLOOKUP(Table3[[#This Row],[dam]],Sheet1!$B$2:$Y$970,23, FALSE))*Sheet1!$AD$3</f>
        <v>0</v>
      </c>
      <c r="Q220" s="3">
        <f>SUM(Table3[[#This Row],[earningsInRaces1]:[earningsInRaces12]])</f>
        <v>0</v>
      </c>
      <c r="R220" s="3">
        <f>SUM(Table3[[#This Row],[auctionPrice1]:[auctionPrice12]])</f>
        <v>59633</v>
      </c>
      <c r="S220" s="3">
        <f>SUM(Table3[[#This Row],[studFeeUSD1]:[studFeeUSD12]])</f>
        <v>-175000</v>
      </c>
      <c r="T220" s="7">
        <f>COUNT(Table3[[#This Row],[successfulService1]:[successfulService12]])</f>
        <v>2</v>
      </c>
      <c r="U220" s="7">
        <f>SUM(Table3[[#This Row],[successfulService1]:[successfulService12]])</f>
        <v>1</v>
      </c>
      <c r="V220" s="7">
        <f>SUM(Table3[[#This Row],[soldInAuction1]:[soldInAuction12]])</f>
        <v>1</v>
      </c>
      <c r="W220" s="7">
        <f>SUM(Table3[[#This Row],[foreignHorse1]:[foreignHorse12]])</f>
        <v>0</v>
      </c>
      <c r="X220" s="3">
        <v>-175000</v>
      </c>
      <c r="Y220" s="3">
        <v>59633</v>
      </c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>
        <v>59633</v>
      </c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>
        <v>-175000</v>
      </c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>
        <v>0</v>
      </c>
      <c r="CG220" s="1">
        <v>1</v>
      </c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>
        <v>0</v>
      </c>
      <c r="CS220" s="1">
        <v>1</v>
      </c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>
        <v>0</v>
      </c>
      <c r="DE220" s="1">
        <v>0</v>
      </c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>
        <v>1</v>
      </c>
      <c r="DQ220" s="1">
        <v>2</v>
      </c>
      <c r="DR220" s="1"/>
      <c r="DS220" s="1"/>
      <c r="DT220" s="1"/>
      <c r="DU220" s="1"/>
      <c r="DV220" s="1"/>
      <c r="DW220" s="1"/>
      <c r="DX220" s="1"/>
      <c r="DY220" s="1"/>
      <c r="DZ220" s="1"/>
      <c r="EA220" s="1"/>
    </row>
    <row r="221" spans="1:131" x14ac:dyDescent="0.3">
      <c r="A221">
        <v>10106085</v>
      </c>
      <c r="B221" s="1" t="s">
        <v>824</v>
      </c>
      <c r="C221" s="1" t="s">
        <v>139</v>
      </c>
      <c r="D221" s="1">
        <v>2022</v>
      </c>
      <c r="E221" s="1">
        <v>1</v>
      </c>
      <c r="F221" s="10">
        <f>Table3[[#This Row],[First season 
with SF]]+Table3[[#This Row],['# Services 
provided]]</f>
        <v>2</v>
      </c>
      <c r="G221" s="26">
        <f>(Table3[[#This Row],[Total Income 
(Race + Price 
sold + Offs - maintenance cost)]]-Table3[[#This Row],[Price 
Bought]])/Table3[[#This Row],[Price 
Bought]]</f>
        <v>4.0777777777777775</v>
      </c>
      <c r="H221" s="31">
        <f>Table3[[#This Row],[Race 
earnings]]+Table3[[#This Row],[Price 
Sold]]-Table3[[#This Row],[Maintenance cost]]+Table3[[#This Row],[Total 
profit (Income - cost)]]</f>
        <v>457000</v>
      </c>
      <c r="I221" s="3">
        <f>_xlfn.IFNA(VLOOKUP(Table3[[#This Row],[damId]],Sheet1!$A$2:$M$970,5, FALSE), VLOOKUP(Table3[[#This Row],[dam]],Sheet1!$B$2:$M$970,4, FALSE))</f>
        <v>0</v>
      </c>
      <c r="J221" s="3">
        <f>_xlfn.IFNA(VLOOKUP(Table3[[#This Row],[damId]],Sheet1!$A$2:$M$970,13, FALSE), VLOOKUP(Table3[[#This Row],[dam]],Sheet1!$B$2:$M$970,13, FALSE))</f>
        <v>410000</v>
      </c>
      <c r="K221" s="3">
        <f>_xlfn.IFNA(VLOOKUP(Table3[[#This Row],[damId]],Sheet1!$A$2:$M$970,11, FALSE), VLOOKUP(Table3[[#This Row],[dam]],Sheet1!$B$2:$M$970,11, FALSE))</f>
        <v>90000</v>
      </c>
      <c r="L221" s="3">
        <f>_xlfn.IFNA(VLOOKUP(Table3[[#This Row],[damId]],Sheet1!$A$2:$M$970,12, FALSE), VLOOKUP(Table3[[#This Row],[dam]],Sheet1!$B$2:$M$970,12, FALSE))</f>
        <v>500000</v>
      </c>
      <c r="M221" s="3">
        <f>_xlfn.IFNA(VLOOKUP(Table3[[#This Row],[damId]],Sheet1!$A$2:$T$970,20, FALSE), VLOOKUP(Table3[[#This Row],[dam]],Sheet1!$B$2:$T$970,20, FALSE))*Sheet1!$AD$3</f>
        <v>30000</v>
      </c>
      <c r="N221" s="3">
        <f>Table3[[#This Row],[Total 
income (Earnings + value - stud fee)]]-Table3[[#This Row],[Maintenance cost ]]</f>
        <v>-13000</v>
      </c>
      <c r="O221" s="3">
        <f>SUM(Table3[[#This Row],[income1]:[income12]])</f>
        <v>-13000</v>
      </c>
      <c r="P221" s="3">
        <f>_xlfn.IFNA(VLOOKUP(Table3[[#This Row],[damId]],Sheet1!$A$2:$Y$970,23, FALSE), VLOOKUP(Table3[[#This Row],[dam]],Sheet1!$B$2:$Y$970,23, FALSE))*Sheet1!$AD$3</f>
        <v>0</v>
      </c>
      <c r="Q221" s="3">
        <f>SUM(Table3[[#This Row],[earningsInRaces1]:[earningsInRaces12]])</f>
        <v>0</v>
      </c>
      <c r="R221" s="3">
        <f>SUM(Table3[[#This Row],[auctionPrice1]:[auctionPrice12]])</f>
        <v>27000</v>
      </c>
      <c r="S221" s="3">
        <f>SUM(Table3[[#This Row],[studFeeUSD1]:[studFeeUSD12]])</f>
        <v>-40000</v>
      </c>
      <c r="T221" s="7">
        <f>COUNT(Table3[[#This Row],[successfulService1]:[successfulService12]])</f>
        <v>1</v>
      </c>
      <c r="U221" s="7">
        <f>SUM(Table3[[#This Row],[successfulService1]:[successfulService12]])</f>
        <v>1</v>
      </c>
      <c r="V221" s="7">
        <f>SUM(Table3[[#This Row],[soldInAuction1]:[soldInAuction12]])</f>
        <v>1</v>
      </c>
      <c r="W221" s="7">
        <f>SUM(Table3[[#This Row],[foreignHorse1]:[foreignHorse12]])</f>
        <v>0</v>
      </c>
      <c r="X221" s="3">
        <v>-13000</v>
      </c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>
        <v>27000</v>
      </c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>
        <v>-40000</v>
      </c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>
        <v>1</v>
      </c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>
        <v>1</v>
      </c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>
        <v>0</v>
      </c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>
        <v>1</v>
      </c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</row>
    <row r="222" spans="1:131" x14ac:dyDescent="0.3">
      <c r="A222">
        <v>10127347</v>
      </c>
      <c r="B222" s="1" t="s">
        <v>830</v>
      </c>
      <c r="C222" s="1" t="s">
        <v>24</v>
      </c>
      <c r="D222" s="1">
        <v>2022</v>
      </c>
      <c r="E222" s="1">
        <v>1</v>
      </c>
      <c r="F222" s="10">
        <f>Table3[[#This Row],[First season 
with SF]]+Table3[[#This Row],['# Services 
provided]]</f>
        <v>4</v>
      </c>
      <c r="G222" s="26">
        <f>(Table3[[#This Row],[Total Income 
(Race + Price 
sold + Offs - maintenance cost)]]-Table3[[#This Row],[Price 
Bought]])/Table3[[#This Row],[Price 
Bought]]</f>
        <v>1.429541304347826</v>
      </c>
      <c r="H222" s="31">
        <f>Table3[[#This Row],[Race 
earnings]]+Table3[[#This Row],[Price 
Sold]]-Table3[[#This Row],[Maintenance cost]]+Table3[[#This Row],[Total 
profit (Income - cost)]]</f>
        <v>279397.25</v>
      </c>
      <c r="I222" s="3">
        <f>_xlfn.IFNA(VLOOKUP(Table3[[#This Row],[damId]],Sheet1!$A$2:$M$970,5, FALSE), VLOOKUP(Table3[[#This Row],[dam]],Sheet1!$B$2:$M$970,4, FALSE))</f>
        <v>0</v>
      </c>
      <c r="J222" s="3">
        <f>_xlfn.IFNA(VLOOKUP(Table3[[#This Row],[damId]],Sheet1!$A$2:$M$970,13, FALSE), VLOOKUP(Table3[[#This Row],[dam]],Sheet1!$B$2:$M$970,13, FALSE))</f>
        <v>-115000</v>
      </c>
      <c r="K222" s="3">
        <f>_xlfn.IFNA(VLOOKUP(Table3[[#This Row],[damId]],Sheet1!$A$2:$M$970,11, FALSE), VLOOKUP(Table3[[#This Row],[dam]],Sheet1!$B$2:$M$970,11, FALSE))</f>
        <v>115000</v>
      </c>
      <c r="L222" s="3">
        <f>_xlfn.IFNA(VLOOKUP(Table3[[#This Row],[damId]],Sheet1!$A$2:$M$970,12, FALSE), VLOOKUP(Table3[[#This Row],[dam]],Sheet1!$B$2:$M$970,12, FALSE))</f>
        <v>0</v>
      </c>
      <c r="M222" s="3">
        <f>_xlfn.IFNA(VLOOKUP(Table3[[#This Row],[damId]],Sheet1!$A$2:$T$970,20, FALSE), VLOOKUP(Table3[[#This Row],[dam]],Sheet1!$B$2:$T$970,20, FALSE))*Sheet1!$AD$3</f>
        <v>48945.21</v>
      </c>
      <c r="N222" s="3">
        <f>Table3[[#This Row],[Total 
income (Earnings + value - stud fee)]]-Table3[[#This Row],[Maintenance cost ]]</f>
        <v>328342.46000000002</v>
      </c>
      <c r="O222" s="3">
        <f>SUM(Table3[[#This Row],[income1]:[income12]])</f>
        <v>350000</v>
      </c>
      <c r="P222" s="3">
        <f>_xlfn.IFNA(VLOOKUP(Table3[[#This Row],[damId]],Sheet1!$A$2:$Y$970,23, FALSE), VLOOKUP(Table3[[#This Row],[dam]],Sheet1!$B$2:$Y$970,23, FALSE))*Sheet1!$AD$3</f>
        <v>21657.539999999997</v>
      </c>
      <c r="Q222" s="3">
        <f>SUM(Table3[[#This Row],[earningsInRaces1]:[earningsInRaces12]])</f>
        <v>0</v>
      </c>
      <c r="R222" s="3">
        <f>SUM(Table3[[#This Row],[auctionPrice1]:[auctionPrice12]])</f>
        <v>350000</v>
      </c>
      <c r="S222" s="3">
        <f>SUM(Table3[[#This Row],[studFeeUSD1]:[studFeeUSD12]])</f>
        <v>0</v>
      </c>
      <c r="T222" s="7">
        <f>COUNT(Table3[[#This Row],[successfulService1]:[successfulService12]])</f>
        <v>3</v>
      </c>
      <c r="U222" s="7">
        <f>SUM(Table3[[#This Row],[successfulService1]:[successfulService12]])</f>
        <v>2</v>
      </c>
      <c r="V222" s="7">
        <f>SUM(Table3[[#This Row],[soldInAuction1]:[soldInAuction12]])</f>
        <v>1</v>
      </c>
      <c r="W222" s="7">
        <f>SUM(Table3[[#This Row],[foreignHorse1]:[foreignHorse12]])</f>
        <v>0</v>
      </c>
      <c r="X222" s="3">
        <v>350000</v>
      </c>
      <c r="Y222" s="3">
        <v>0</v>
      </c>
      <c r="Z222" s="3">
        <v>0</v>
      </c>
      <c r="AA222" s="3"/>
      <c r="AB222" s="3"/>
      <c r="AC222" s="3"/>
      <c r="AD222" s="3"/>
      <c r="AE222" s="3"/>
      <c r="AF222" s="3"/>
      <c r="AG222" s="3"/>
      <c r="AH222" s="3"/>
      <c r="AI222" s="3"/>
      <c r="AJ222" s="3">
        <v>0</v>
      </c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>
        <v>350000</v>
      </c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>
        <v>0</v>
      </c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1">
        <v>0</v>
      </c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>
        <v>1</v>
      </c>
      <c r="CG222" s="1">
        <v>1</v>
      </c>
      <c r="CH222" s="1">
        <v>0</v>
      </c>
      <c r="CI222" s="1"/>
      <c r="CJ222" s="1"/>
      <c r="CK222" s="1"/>
      <c r="CL222" s="1"/>
      <c r="CM222" s="1"/>
      <c r="CN222" s="1"/>
      <c r="CO222" s="1"/>
      <c r="CP222" s="1"/>
      <c r="CQ222" s="1"/>
      <c r="CR222" s="1">
        <v>1</v>
      </c>
      <c r="CS222" s="1">
        <v>0</v>
      </c>
      <c r="CT222" s="1">
        <v>0</v>
      </c>
      <c r="CU222" s="1"/>
      <c r="CV222" s="1"/>
      <c r="CW222" s="1"/>
      <c r="CX222" s="1"/>
      <c r="CY222" s="1"/>
      <c r="CZ222" s="1"/>
      <c r="DA222" s="1"/>
      <c r="DB222" s="1"/>
      <c r="DC222" s="1"/>
      <c r="DD222" s="1">
        <v>0</v>
      </c>
      <c r="DE222" s="1">
        <v>0</v>
      </c>
      <c r="DF222" s="1">
        <v>0</v>
      </c>
      <c r="DG222" s="1"/>
      <c r="DH222" s="1"/>
      <c r="DI222" s="1"/>
      <c r="DJ222" s="1"/>
      <c r="DK222" s="1"/>
      <c r="DL222" s="1"/>
      <c r="DM222" s="1"/>
      <c r="DN222" s="1"/>
      <c r="DO222" s="1"/>
      <c r="DP222" s="1">
        <v>1</v>
      </c>
      <c r="DQ222" s="1">
        <v>2</v>
      </c>
      <c r="DR222" s="1">
        <v>3</v>
      </c>
      <c r="DS222" s="1"/>
      <c r="DT222" s="1"/>
      <c r="DU222" s="1"/>
      <c r="DV222" s="1"/>
      <c r="DW222" s="1"/>
      <c r="DX222" s="1"/>
      <c r="DY222" s="1"/>
      <c r="DZ222" s="1"/>
      <c r="EA222" s="1"/>
    </row>
    <row r="223" spans="1:131" x14ac:dyDescent="0.3">
      <c r="A223">
        <v>7968856</v>
      </c>
      <c r="B223" s="1" t="s">
        <v>219</v>
      </c>
      <c r="C223" s="1" t="s">
        <v>24</v>
      </c>
      <c r="D223" s="1">
        <v>2023</v>
      </c>
      <c r="E223" s="1">
        <v>12</v>
      </c>
      <c r="F223" s="10">
        <f>Table3[[#This Row],[First season 
with SF]]+Table3[[#This Row],['# Services 
provided]]</f>
        <v>16</v>
      </c>
      <c r="G223" s="26">
        <f>(Table3[[#This Row],[Total Income 
(Race + Price 
sold + Offs - maintenance cost)]]-Table3[[#This Row],[Price 
Bought]])/Table3[[#This Row],[Price 
Bought]]</f>
        <v>-7.6797262000000002</v>
      </c>
      <c r="H223" s="31">
        <f>Table3[[#This Row],[Race 
earnings]]+Table3[[#This Row],[Price 
Sold]]-Table3[[#This Row],[Maintenance cost]]+Table3[[#This Row],[Total 
profit (Income - cost)]]</f>
        <v>-333986.31</v>
      </c>
      <c r="I223" s="3">
        <f>_xlfn.IFNA(VLOOKUP(Table3[[#This Row],[damId]],Sheet1!$A$2:$M$970,5, FALSE), VLOOKUP(Table3[[#This Row],[dam]],Sheet1!$B$2:$M$970,4, FALSE))</f>
        <v>0</v>
      </c>
      <c r="J223" s="3">
        <f>_xlfn.IFNA(VLOOKUP(Table3[[#This Row],[damId]],Sheet1!$A$2:$M$970,13, FALSE), VLOOKUP(Table3[[#This Row],[dam]],Sheet1!$B$2:$M$970,13, FALSE))</f>
        <v>-50000</v>
      </c>
      <c r="K223" s="3">
        <f>_xlfn.IFNA(VLOOKUP(Table3[[#This Row],[damId]],Sheet1!$A$2:$M$970,11, FALSE), VLOOKUP(Table3[[#This Row],[dam]],Sheet1!$B$2:$M$970,11, FALSE))</f>
        <v>50000</v>
      </c>
      <c r="L223" s="3">
        <f>_xlfn.IFNA(VLOOKUP(Table3[[#This Row],[damId]],Sheet1!$A$2:$M$970,12, FALSE), VLOOKUP(Table3[[#This Row],[dam]],Sheet1!$B$2:$M$970,12, FALSE))</f>
        <v>0</v>
      </c>
      <c r="M223" s="3">
        <f>_xlfn.IFNA(VLOOKUP(Table3[[#This Row],[damId]],Sheet1!$A$2:$T$970,20, FALSE), VLOOKUP(Table3[[#This Row],[dam]],Sheet1!$B$2:$T$970,20, FALSE))*Sheet1!$AD$3</f>
        <v>33986.31</v>
      </c>
      <c r="N223" s="3">
        <f>Table3[[#This Row],[Total 
income (Earnings + value - stud fee)]]-Table3[[#This Row],[Maintenance cost ]]</f>
        <v>-300000</v>
      </c>
      <c r="O223" s="3">
        <f>SUM(Table3[[#This Row],[income1]:[income12]])</f>
        <v>-300000</v>
      </c>
      <c r="P223" s="3">
        <f>_xlfn.IFNA(VLOOKUP(Table3[[#This Row],[damId]],Sheet1!$A$2:$Y$970,23, FALSE), VLOOKUP(Table3[[#This Row],[dam]],Sheet1!$B$2:$Y$970,23, FALSE))*Sheet1!$AD$3</f>
        <v>0</v>
      </c>
      <c r="Q223" s="3">
        <f>SUM(Table3[[#This Row],[earningsInRaces1]:[earningsInRaces12]])</f>
        <v>0</v>
      </c>
      <c r="R223" s="3">
        <f>SUM(Table3[[#This Row],[auctionPrice1]:[auctionPrice12]])</f>
        <v>200000</v>
      </c>
      <c r="S223" s="3">
        <f>SUM(Table3[[#This Row],[studFeeUSD1]:[studFeeUSD12]])</f>
        <v>-500000</v>
      </c>
      <c r="T223" s="7">
        <f>COUNT(Table3[[#This Row],[successfulService1]:[successfulService12]])</f>
        <v>4</v>
      </c>
      <c r="U223" s="7">
        <f>SUM(Table3[[#This Row],[successfulService1]:[successfulService12]])</f>
        <v>1</v>
      </c>
      <c r="V223" s="7">
        <f>SUM(Table3[[#This Row],[soldInAuction1]:[soldInAuction12]])</f>
        <v>1</v>
      </c>
      <c r="W223" s="7">
        <f>SUM(Table3[[#This Row],[foreignHorse1]:[foreignHorse12]])</f>
        <v>0</v>
      </c>
      <c r="X223" s="3">
        <v>200000</v>
      </c>
      <c r="Y223" s="3">
        <v>-100000</v>
      </c>
      <c r="Z223" s="3">
        <v>-200000</v>
      </c>
      <c r="AA223" s="3">
        <v>-200000</v>
      </c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>
        <v>200000</v>
      </c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>
        <v>0</v>
      </c>
      <c r="BI223" s="3">
        <v>-100000</v>
      </c>
      <c r="BJ223" s="3">
        <v>-200000</v>
      </c>
      <c r="BK223" s="3">
        <v>-200000</v>
      </c>
      <c r="BL223" s="3"/>
      <c r="BM223" s="3"/>
      <c r="BN223" s="3"/>
      <c r="BO223" s="3"/>
      <c r="BP223" s="3"/>
      <c r="BQ223" s="3"/>
      <c r="BR223" s="3"/>
      <c r="BS223" s="3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>
        <v>1</v>
      </c>
      <c r="CG223" s="1">
        <v>0</v>
      </c>
      <c r="CH223" s="1">
        <v>0</v>
      </c>
      <c r="CI223" s="1">
        <v>0</v>
      </c>
      <c r="CJ223" s="1"/>
      <c r="CK223" s="1"/>
      <c r="CL223" s="1"/>
      <c r="CM223" s="1"/>
      <c r="CN223" s="1"/>
      <c r="CO223" s="1"/>
      <c r="CP223" s="1"/>
      <c r="CQ223" s="1"/>
      <c r="CR223" s="1">
        <v>1</v>
      </c>
      <c r="CS223" s="1">
        <v>0</v>
      </c>
      <c r="CT223" s="1">
        <v>0</v>
      </c>
      <c r="CU223" s="1">
        <v>0</v>
      </c>
      <c r="CV223" s="1"/>
      <c r="CW223" s="1"/>
      <c r="CX223" s="1"/>
      <c r="CY223" s="1"/>
      <c r="CZ223" s="1"/>
      <c r="DA223" s="1"/>
      <c r="DB223" s="1"/>
      <c r="DC223" s="1"/>
      <c r="DD223" s="1">
        <v>0</v>
      </c>
      <c r="DE223" s="1">
        <v>0</v>
      </c>
      <c r="DF223" s="1">
        <v>0</v>
      </c>
      <c r="DG223" s="1">
        <v>0</v>
      </c>
      <c r="DH223" s="1"/>
      <c r="DI223" s="1"/>
      <c r="DJ223" s="1"/>
      <c r="DK223" s="1"/>
      <c r="DL223" s="1"/>
      <c r="DM223" s="1"/>
      <c r="DN223" s="1"/>
      <c r="DO223" s="1"/>
      <c r="DP223" s="1">
        <v>12</v>
      </c>
      <c r="DQ223" s="1">
        <v>13</v>
      </c>
      <c r="DR223" s="1">
        <v>13</v>
      </c>
      <c r="DS223" s="1">
        <v>14</v>
      </c>
      <c r="DT223" s="1"/>
      <c r="DU223" s="1"/>
      <c r="DV223" s="1"/>
      <c r="DW223" s="1"/>
      <c r="DX223" s="1"/>
      <c r="DY223" s="1"/>
      <c r="DZ223" s="1"/>
      <c r="EA223" s="1"/>
    </row>
    <row r="224" spans="1:131" x14ac:dyDescent="0.3">
      <c r="A224">
        <v>10110258</v>
      </c>
      <c r="B224" s="1" t="s">
        <v>826</v>
      </c>
      <c r="C224" s="1" t="s">
        <v>139</v>
      </c>
      <c r="D224" s="1">
        <v>2023</v>
      </c>
      <c r="E224" s="1">
        <v>1</v>
      </c>
      <c r="F224" s="10">
        <f>Table3[[#This Row],[First season 
with SF]]+Table3[[#This Row],['# Services 
provided]]</f>
        <v>2</v>
      </c>
      <c r="G224" s="26">
        <f>(Table3[[#This Row],[Total Income 
(Race + Price 
sold + Offs - maintenance cost)]]-Table3[[#This Row],[Price 
Bought]])/Table3[[#This Row],[Price 
Bought]]</f>
        <v>0.35641868333333349</v>
      </c>
      <c r="H224" s="31">
        <f>Table3[[#This Row],[Race 
earnings]]+Table3[[#This Row],[Price 
Sold]]-Table3[[#This Row],[Maintenance cost]]+Table3[[#This Row],[Total 
profit (Income - cost)]]</f>
        <v>406925.60500000004</v>
      </c>
      <c r="I224" s="3">
        <f>_xlfn.IFNA(VLOOKUP(Table3[[#This Row],[damId]],Sheet1!$A$2:$M$970,5, FALSE), VLOOKUP(Table3[[#This Row],[dam]],Sheet1!$B$2:$M$970,4, FALSE))</f>
        <v>0</v>
      </c>
      <c r="J224" s="3">
        <f>_xlfn.IFNA(VLOOKUP(Table3[[#This Row],[damId]],Sheet1!$A$2:$M$970,13, FALSE), VLOOKUP(Table3[[#This Row],[dam]],Sheet1!$B$2:$M$970,13, FALSE))</f>
        <v>47006</v>
      </c>
      <c r="K224" s="3">
        <f>_xlfn.IFNA(VLOOKUP(Table3[[#This Row],[damId]],Sheet1!$A$2:$M$970,11, FALSE), VLOOKUP(Table3[[#This Row],[dam]],Sheet1!$B$2:$M$970,11, FALSE))</f>
        <v>300000</v>
      </c>
      <c r="L224" s="3">
        <f>_xlfn.IFNA(VLOOKUP(Table3[[#This Row],[damId]],Sheet1!$A$2:$M$970,12, FALSE), VLOOKUP(Table3[[#This Row],[dam]],Sheet1!$B$2:$M$970,12, FALSE))</f>
        <v>347006</v>
      </c>
      <c r="M224" s="3">
        <f>_xlfn.IFNA(VLOOKUP(Table3[[#This Row],[damId]],Sheet1!$A$2:$T$970,20, FALSE), VLOOKUP(Table3[[#This Row],[dam]],Sheet1!$B$2:$T$970,20, FALSE))*Sheet1!$AD$3</f>
        <v>20506.845000000001</v>
      </c>
      <c r="N224" s="3">
        <f>Table3[[#This Row],[Total 
income (Earnings + value - stud fee)]]-Table3[[#This Row],[Maintenance cost ]]</f>
        <v>80426.45</v>
      </c>
      <c r="O224" s="3">
        <f>SUM(Table3[[#This Row],[income1]:[income12]])</f>
        <v>80426.45</v>
      </c>
      <c r="P224" s="3">
        <f>_xlfn.IFNA(VLOOKUP(Table3[[#This Row],[damId]],Sheet1!$A$2:$Y$970,23, FALSE), VLOOKUP(Table3[[#This Row],[dam]],Sheet1!$B$2:$Y$970,23, FALSE))*Sheet1!$AD$3</f>
        <v>0</v>
      </c>
      <c r="Q224" s="3">
        <f>SUM(Table3[[#This Row],[earningsInRaces1]:[earningsInRaces12]])</f>
        <v>0</v>
      </c>
      <c r="R224" s="3">
        <f>SUM(Table3[[#This Row],[auctionPrice1]:[auctionPrice12]])</f>
        <v>231982</v>
      </c>
      <c r="S224" s="3">
        <f>SUM(Table3[[#This Row],[studFeeUSD1]:[studFeeUSD12]])</f>
        <v>-151555.5</v>
      </c>
      <c r="T224" s="7">
        <f>COUNT(Table3[[#This Row],[successfulService1]:[successfulService12]])</f>
        <v>1</v>
      </c>
      <c r="U224" s="7">
        <f>SUM(Table3[[#This Row],[successfulService1]:[successfulService12]])</f>
        <v>1</v>
      </c>
      <c r="V224" s="7">
        <f>SUM(Table3[[#This Row],[soldInAuction1]:[soldInAuction12]])</f>
        <v>1</v>
      </c>
      <c r="W224" s="7">
        <f>SUM(Table3[[#This Row],[foreignHorse1]:[foreignHorse12]])</f>
        <v>0</v>
      </c>
      <c r="X224" s="3">
        <v>80426.45</v>
      </c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>
        <v>231982</v>
      </c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>
        <v>-151555.5</v>
      </c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>
        <v>1</v>
      </c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>
        <v>1</v>
      </c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>
        <v>0</v>
      </c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>
        <v>1</v>
      </c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</row>
    <row r="225" spans="1:131" x14ac:dyDescent="0.3">
      <c r="A225">
        <v>10250499</v>
      </c>
      <c r="B225" s="1" t="s">
        <v>847</v>
      </c>
      <c r="C225" s="1" t="s">
        <v>24</v>
      </c>
      <c r="D225" s="1">
        <v>2023</v>
      </c>
      <c r="E225" s="1">
        <v>1</v>
      </c>
      <c r="F225" s="10">
        <f>Table3[[#This Row],[First season 
with SF]]+Table3[[#This Row],['# Services 
provided]]</f>
        <v>2</v>
      </c>
      <c r="G225" s="26">
        <f>(Table3[[#This Row],[Total Income 
(Race + Price 
sold + Offs - maintenance cost)]]-Table3[[#This Row],[Price 
Bought]])/Table3[[#This Row],[Price 
Bought]]</f>
        <v>1.2626303333333333</v>
      </c>
      <c r="H225" s="31">
        <f>Table3[[#This Row],[Race 
earnings]]+Table3[[#This Row],[Price 
Sold]]-Table3[[#This Row],[Maintenance cost]]+Table3[[#This Row],[Total 
profit (Income - cost)]]</f>
        <v>339394.55</v>
      </c>
      <c r="I225" s="3">
        <f>_xlfn.IFNA(VLOOKUP(Table3[[#This Row],[damId]],Sheet1!$A$2:$M$970,5, FALSE), VLOOKUP(Table3[[#This Row],[dam]],Sheet1!$B$2:$M$970,4, FALSE))</f>
        <v>0</v>
      </c>
      <c r="J225" s="3">
        <f>_xlfn.IFNA(VLOOKUP(Table3[[#This Row],[damId]],Sheet1!$A$2:$M$970,13, FALSE), VLOOKUP(Table3[[#This Row],[dam]],Sheet1!$B$2:$M$970,13, FALSE))</f>
        <v>211874</v>
      </c>
      <c r="K225" s="3">
        <f>_xlfn.IFNA(VLOOKUP(Table3[[#This Row],[damId]],Sheet1!$A$2:$M$970,11, FALSE), VLOOKUP(Table3[[#This Row],[dam]],Sheet1!$B$2:$M$970,11, FALSE))</f>
        <v>150000</v>
      </c>
      <c r="L225" s="3">
        <f>_xlfn.IFNA(VLOOKUP(Table3[[#This Row],[damId]],Sheet1!$A$2:$M$970,12, FALSE), VLOOKUP(Table3[[#This Row],[dam]],Sheet1!$B$2:$M$970,12, FALSE))</f>
        <v>361874</v>
      </c>
      <c r="M225" s="3">
        <f>_xlfn.IFNA(VLOOKUP(Table3[[#This Row],[damId]],Sheet1!$A$2:$T$970,20, FALSE), VLOOKUP(Table3[[#This Row],[dam]],Sheet1!$B$2:$T$970,20, FALSE))*Sheet1!$AD$3</f>
        <v>22479.449999999997</v>
      </c>
      <c r="N225" s="3">
        <f>Table3[[#This Row],[Total 
income (Earnings + value - stud fee)]]-Table3[[#This Row],[Maintenance cost ]]</f>
        <v>0</v>
      </c>
      <c r="O225" s="3">
        <f>SUM(Table3[[#This Row],[income1]:[income12]])</f>
        <v>0</v>
      </c>
      <c r="P225" s="3">
        <f>_xlfn.IFNA(VLOOKUP(Table3[[#This Row],[damId]],Sheet1!$A$2:$Y$970,23, FALSE), VLOOKUP(Table3[[#This Row],[dam]],Sheet1!$B$2:$Y$970,23, FALSE))*Sheet1!$AD$3</f>
        <v>0</v>
      </c>
      <c r="Q225" s="3">
        <f>SUM(Table3[[#This Row],[earningsInRaces1]:[earningsInRaces12]])</f>
        <v>0</v>
      </c>
      <c r="R225" s="3">
        <f>SUM(Table3[[#This Row],[auctionPrice1]:[auctionPrice12]])</f>
        <v>0</v>
      </c>
      <c r="S225" s="3">
        <f>SUM(Table3[[#This Row],[studFeeUSD1]:[studFeeUSD12]])</f>
        <v>0</v>
      </c>
      <c r="T225" s="7">
        <f>COUNT(Table3[[#This Row],[successfulService1]:[successfulService12]])</f>
        <v>1</v>
      </c>
      <c r="U225" s="7">
        <f>SUM(Table3[[#This Row],[successfulService1]:[successfulService12]])</f>
        <v>1</v>
      </c>
      <c r="V225" s="7">
        <f>SUM(Table3[[#This Row],[soldInAuction1]:[soldInAuction12]])</f>
        <v>0</v>
      </c>
      <c r="W225" s="7">
        <f>SUM(Table3[[#This Row],[foreignHorse1]:[foreignHorse12]])</f>
        <v>0</v>
      </c>
      <c r="X225" s="3">
        <v>0</v>
      </c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>
        <v>0</v>
      </c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>
        <v>1</v>
      </c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>
        <v>0</v>
      </c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>
        <v>0</v>
      </c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>
        <v>1</v>
      </c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</row>
    <row r="226" spans="1:131" x14ac:dyDescent="0.3">
      <c r="A226">
        <v>10432503</v>
      </c>
      <c r="B226" s="1" t="s">
        <v>959</v>
      </c>
      <c r="C226" s="1" t="s">
        <v>24</v>
      </c>
      <c r="D226" s="1">
        <v>2023</v>
      </c>
      <c r="E226" s="1">
        <v>1</v>
      </c>
      <c r="F226" s="10">
        <f>Table3[[#This Row],[First season 
with SF]]+Table3[[#This Row],['# Services 
provided]]</f>
        <v>3</v>
      </c>
      <c r="G226" s="26">
        <f>(Table3[[#This Row],[Total Income 
(Race + Price 
sold + Offs - maintenance cost)]]-Table3[[#This Row],[Price 
Bought]])/Table3[[#This Row],[Price 
Bought]]</f>
        <v>-1.1428634564516129</v>
      </c>
      <c r="H226" s="31">
        <f>Table3[[#This Row],[Race 
earnings]]+Table3[[#This Row],[Price 
Sold]]-Table3[[#This Row],[Maintenance cost]]+Table3[[#This Row],[Total 
profit (Income - cost)]]</f>
        <v>-44287.671499999997</v>
      </c>
      <c r="I226" s="3">
        <f>_xlfn.IFNA(VLOOKUP(Table3[[#This Row],[damId]],Sheet1!$A$2:$M$970,5, FALSE), VLOOKUP(Table3[[#This Row],[dam]],Sheet1!$B$2:$M$970,4, FALSE))</f>
        <v>0</v>
      </c>
      <c r="J226" s="3">
        <f>_xlfn.IFNA(VLOOKUP(Table3[[#This Row],[damId]],Sheet1!$A$2:$M$970,13, FALSE), VLOOKUP(Table3[[#This Row],[dam]],Sheet1!$B$2:$M$970,13, FALSE))</f>
        <v>80000</v>
      </c>
      <c r="K226" s="3">
        <f>_xlfn.IFNA(VLOOKUP(Table3[[#This Row],[damId]],Sheet1!$A$2:$M$970,11, FALSE), VLOOKUP(Table3[[#This Row],[dam]],Sheet1!$B$2:$M$970,11, FALSE))</f>
        <v>310000</v>
      </c>
      <c r="L226" s="3">
        <f>_xlfn.IFNA(VLOOKUP(Table3[[#This Row],[damId]],Sheet1!$A$2:$M$970,12, FALSE), VLOOKUP(Table3[[#This Row],[dam]],Sheet1!$B$2:$M$970,12, FALSE))</f>
        <v>40000</v>
      </c>
      <c r="M226" s="3">
        <f>_xlfn.IFNA(VLOOKUP(Table3[[#This Row],[damId]],Sheet1!$A$2:$T$970,20, FALSE), VLOOKUP(Table3[[#This Row],[dam]],Sheet1!$B$2:$T$970,20, FALSE))*Sheet1!$AD$3</f>
        <v>9287.6714999999986</v>
      </c>
      <c r="N226" s="3">
        <f>Table3[[#This Row],[Total 
income (Earnings + value - stud fee)]]-Table3[[#This Row],[Maintenance cost ]]</f>
        <v>-75000</v>
      </c>
      <c r="O226" s="3">
        <f>SUM(Table3[[#This Row],[income1]:[income12]])</f>
        <v>-75000</v>
      </c>
      <c r="P226" s="3">
        <f>_xlfn.IFNA(VLOOKUP(Table3[[#This Row],[damId]],Sheet1!$A$2:$Y$970,23, FALSE), VLOOKUP(Table3[[#This Row],[dam]],Sheet1!$B$2:$Y$970,23, FALSE))*Sheet1!$AD$3</f>
        <v>0</v>
      </c>
      <c r="Q226" s="3">
        <f>SUM(Table3[[#This Row],[earningsInRaces1]:[earningsInRaces12]])</f>
        <v>0</v>
      </c>
      <c r="R226" s="3">
        <f>SUM(Table3[[#This Row],[auctionPrice1]:[auctionPrice12]])</f>
        <v>200000</v>
      </c>
      <c r="S226" s="3">
        <f>SUM(Table3[[#This Row],[studFeeUSD1]:[studFeeUSD12]])</f>
        <v>-275000</v>
      </c>
      <c r="T226" s="7">
        <f>COUNT(Table3[[#This Row],[successfulService1]:[successfulService12]])</f>
        <v>2</v>
      </c>
      <c r="U226" s="7">
        <f>SUM(Table3[[#This Row],[successfulService1]:[successfulService12]])</f>
        <v>2</v>
      </c>
      <c r="V226" s="7">
        <f>SUM(Table3[[#This Row],[soldInAuction1]:[soldInAuction12]])</f>
        <v>1</v>
      </c>
      <c r="W226" s="7">
        <f>SUM(Table3[[#This Row],[foreignHorse1]:[foreignHorse12]])</f>
        <v>0</v>
      </c>
      <c r="X226" s="3">
        <v>125000</v>
      </c>
      <c r="Y226" s="3">
        <v>-200000</v>
      </c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>
        <v>200000</v>
      </c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>
        <v>-75000</v>
      </c>
      <c r="BI226" s="3">
        <v>-200000</v>
      </c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>
        <v>1</v>
      </c>
      <c r="CG226" s="1">
        <v>1</v>
      </c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>
        <v>1</v>
      </c>
      <c r="CS226" s="1">
        <v>0</v>
      </c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>
        <v>0</v>
      </c>
      <c r="DE226" s="1">
        <v>0</v>
      </c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>
        <v>1</v>
      </c>
      <c r="DQ226" s="1">
        <v>2</v>
      </c>
      <c r="DR226" s="1"/>
      <c r="DS226" s="1"/>
      <c r="DT226" s="1"/>
      <c r="DU226" s="1"/>
      <c r="DV226" s="1"/>
      <c r="DW226" s="1"/>
      <c r="DX226" s="1"/>
      <c r="DY226" s="1"/>
      <c r="DZ226" s="1"/>
      <c r="EA226" s="1"/>
    </row>
    <row r="227" spans="1:131" x14ac:dyDescent="0.3">
      <c r="A227">
        <v>10444118</v>
      </c>
      <c r="B227" s="1" t="s">
        <v>969</v>
      </c>
      <c r="C227" s="1" t="s">
        <v>139</v>
      </c>
      <c r="D227" s="1">
        <v>2023</v>
      </c>
      <c r="E227" s="1">
        <v>1</v>
      </c>
      <c r="F227" s="10">
        <f>Table3[[#This Row],[First season 
with SF]]+Table3[[#This Row],['# Services 
provided]]</f>
        <v>2</v>
      </c>
      <c r="G227" s="26">
        <f>(Table3[[#This Row],[Total Income 
(Race + Price 
sold + Offs - maintenance cost)]]-Table3[[#This Row],[Price 
Bought]])/Table3[[#This Row],[Price 
Bought]]</f>
        <v>0.39026106666666671</v>
      </c>
      <c r="H227" s="31">
        <f>Table3[[#This Row],[Race 
earnings]]+Table3[[#This Row],[Price 
Sold]]-Table3[[#This Row],[Maintenance cost]]+Table3[[#This Row],[Total 
profit (Income - cost)]]</f>
        <v>417078.32</v>
      </c>
      <c r="I227" s="3">
        <f>_xlfn.IFNA(VLOOKUP(Table3[[#This Row],[damId]],Sheet1!$A$2:$M$970,5, FALSE), VLOOKUP(Table3[[#This Row],[dam]],Sheet1!$B$2:$M$970,4, FALSE))</f>
        <v>0</v>
      </c>
      <c r="J227" s="3">
        <f>_xlfn.IFNA(VLOOKUP(Table3[[#This Row],[damId]],Sheet1!$A$2:$M$970,13, FALSE), VLOOKUP(Table3[[#This Row],[dam]],Sheet1!$B$2:$M$970,13, FALSE))</f>
        <v>-300000</v>
      </c>
      <c r="K227" s="3">
        <f>_xlfn.IFNA(VLOOKUP(Table3[[#This Row],[damId]],Sheet1!$A$2:$M$970,11, FALSE), VLOOKUP(Table3[[#This Row],[dam]],Sheet1!$B$2:$M$970,11, FALSE))</f>
        <v>300000</v>
      </c>
      <c r="L227" s="3">
        <f>_xlfn.IFNA(VLOOKUP(Table3[[#This Row],[damId]],Sheet1!$A$2:$M$970,12, FALSE), VLOOKUP(Table3[[#This Row],[dam]],Sheet1!$B$2:$M$970,12, FALSE))</f>
        <v>0</v>
      </c>
      <c r="M227" s="3">
        <f>_xlfn.IFNA(VLOOKUP(Table3[[#This Row],[damId]],Sheet1!$A$2:$T$970,20, FALSE), VLOOKUP(Table3[[#This Row],[dam]],Sheet1!$B$2:$T$970,20, FALSE))*Sheet1!$AD$3</f>
        <v>49150.68</v>
      </c>
      <c r="N227" s="3">
        <f>Table3[[#This Row],[Total 
income (Earnings + value - stud fee)]]-Table3[[#This Row],[Maintenance cost ]]</f>
        <v>466229</v>
      </c>
      <c r="O227" s="3">
        <f>SUM(Table3[[#This Row],[income1]:[income12]])</f>
        <v>466229</v>
      </c>
      <c r="P227" s="3">
        <f>_xlfn.IFNA(VLOOKUP(Table3[[#This Row],[damId]],Sheet1!$A$2:$Y$970,23, FALSE), VLOOKUP(Table3[[#This Row],[dam]],Sheet1!$B$2:$Y$970,23, FALSE))*Sheet1!$AD$3</f>
        <v>0</v>
      </c>
      <c r="Q227" s="3">
        <f>SUM(Table3[[#This Row],[earningsInRaces1]:[earningsInRaces12]])</f>
        <v>0</v>
      </c>
      <c r="R227" s="3">
        <f>SUM(Table3[[#This Row],[auctionPrice1]:[auctionPrice12]])</f>
        <v>466229</v>
      </c>
      <c r="S227" s="3">
        <f>SUM(Table3[[#This Row],[studFeeUSD1]:[studFeeUSD12]])</f>
        <v>0</v>
      </c>
      <c r="T227" s="7">
        <f>COUNT(Table3[[#This Row],[successfulService1]:[successfulService12]])</f>
        <v>1</v>
      </c>
      <c r="U227" s="7">
        <f>SUM(Table3[[#This Row],[successfulService1]:[successfulService12]])</f>
        <v>1</v>
      </c>
      <c r="V227" s="7">
        <f>SUM(Table3[[#This Row],[soldInAuction1]:[soldInAuction12]])</f>
        <v>1</v>
      </c>
      <c r="W227" s="7">
        <f>SUM(Table3[[#This Row],[foreignHorse1]:[foreignHorse12]])</f>
        <v>0</v>
      </c>
      <c r="X227" s="3">
        <v>466229</v>
      </c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>
        <v>466229</v>
      </c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>
        <v>1</v>
      </c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>
        <v>1</v>
      </c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>
        <v>0</v>
      </c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>
        <v>1</v>
      </c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</row>
    <row r="228" spans="1:131" x14ac:dyDescent="0.3">
      <c r="A228">
        <v>10417960</v>
      </c>
      <c r="B228" s="1" t="s">
        <v>941</v>
      </c>
      <c r="C228" s="1" t="s">
        <v>24</v>
      </c>
      <c r="D228" s="1">
        <v>2024</v>
      </c>
      <c r="E228" s="1">
        <v>1</v>
      </c>
      <c r="F228" s="10">
        <f>Table3[[#This Row],[First season 
with SF]]+Table3[[#This Row],['# Services 
provided]]</f>
        <v>3</v>
      </c>
      <c r="G228" s="26">
        <f>(Table3[[#This Row],[Total Income 
(Race + Price 
sold + Offs - maintenance cost)]]-Table3[[#This Row],[Price 
Bought]])/Table3[[#This Row],[Price 
Bought]]</f>
        <v>-1.7306392666666668</v>
      </c>
      <c r="H228" s="31">
        <f>Table3[[#This Row],[Race 
earnings]]+Table3[[#This Row],[Price 
Sold]]-Table3[[#This Row],[Maintenance cost]]+Table3[[#This Row],[Total 
profit (Income - cost)]]</f>
        <v>-219191.78</v>
      </c>
      <c r="I228" s="3">
        <f>_xlfn.IFNA(VLOOKUP(Table3[[#This Row],[damId]],Sheet1!$A$2:$M$970,5, FALSE), VLOOKUP(Table3[[#This Row],[dam]],Sheet1!$B$2:$M$970,4, FALSE))</f>
        <v>0</v>
      </c>
      <c r="J228" s="3">
        <f>_xlfn.IFNA(VLOOKUP(Table3[[#This Row],[damId]],Sheet1!$A$2:$M$970,13, FALSE), VLOOKUP(Table3[[#This Row],[dam]],Sheet1!$B$2:$M$970,13, FALSE))</f>
        <v>-300000</v>
      </c>
      <c r="K228" s="3">
        <f>_xlfn.IFNA(VLOOKUP(Table3[[#This Row],[damId]],Sheet1!$A$2:$M$970,11, FALSE), VLOOKUP(Table3[[#This Row],[dam]],Sheet1!$B$2:$M$970,11, FALSE))</f>
        <v>300000</v>
      </c>
      <c r="L228" s="3">
        <f>_xlfn.IFNA(VLOOKUP(Table3[[#This Row],[damId]],Sheet1!$A$2:$M$970,12, FALSE), VLOOKUP(Table3[[#This Row],[dam]],Sheet1!$B$2:$M$970,12, FALSE))</f>
        <v>0</v>
      </c>
      <c r="M228" s="3">
        <f>_xlfn.IFNA(VLOOKUP(Table3[[#This Row],[damId]],Sheet1!$A$2:$T$970,20, FALSE), VLOOKUP(Table3[[#This Row],[dam]],Sheet1!$B$2:$T$970,20, FALSE))*Sheet1!$AD$3</f>
        <v>19191.78</v>
      </c>
      <c r="N228" s="3">
        <f>Table3[[#This Row],[Total 
income (Earnings + value - stud fee)]]-Table3[[#This Row],[Maintenance cost ]]</f>
        <v>-200000</v>
      </c>
      <c r="O228" s="3">
        <f>SUM(Table3[[#This Row],[income1]:[income12]])</f>
        <v>-200000</v>
      </c>
      <c r="P228" s="3">
        <f>_xlfn.IFNA(VLOOKUP(Table3[[#This Row],[damId]],Sheet1!$A$2:$Y$970,23, FALSE), VLOOKUP(Table3[[#This Row],[dam]],Sheet1!$B$2:$Y$970,23, FALSE))*Sheet1!$AD$3</f>
        <v>0</v>
      </c>
      <c r="Q228" s="3">
        <f>SUM(Table3[[#This Row],[earningsInRaces1]:[earningsInRaces12]])</f>
        <v>0</v>
      </c>
      <c r="R228" s="3">
        <f>SUM(Table3[[#This Row],[auctionPrice1]:[auctionPrice12]])</f>
        <v>0</v>
      </c>
      <c r="S228" s="3">
        <f>SUM(Table3[[#This Row],[studFeeUSD1]:[studFeeUSD12]])</f>
        <v>-200000</v>
      </c>
      <c r="T228" s="7">
        <f>COUNT(Table3[[#This Row],[successfulService1]:[successfulService12]])</f>
        <v>2</v>
      </c>
      <c r="U228" s="7">
        <f>SUM(Table3[[#This Row],[successfulService1]:[successfulService12]])</f>
        <v>1</v>
      </c>
      <c r="V228" s="7">
        <f>SUM(Table3[[#This Row],[soldInAuction1]:[soldInAuction12]])</f>
        <v>0</v>
      </c>
      <c r="W228" s="7">
        <f>SUM(Table3[[#This Row],[foreignHorse1]:[foreignHorse12]])</f>
        <v>0</v>
      </c>
      <c r="X228" s="3">
        <v>0</v>
      </c>
      <c r="Y228" s="3">
        <v>-200000</v>
      </c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>
        <v>0</v>
      </c>
      <c r="BI228" s="3">
        <v>-200000</v>
      </c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>
        <v>1</v>
      </c>
      <c r="CG228" s="1">
        <v>0</v>
      </c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>
        <v>0</v>
      </c>
      <c r="CS228" s="1">
        <v>0</v>
      </c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>
        <v>0</v>
      </c>
      <c r="DE228" s="1">
        <v>0</v>
      </c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>
        <v>1</v>
      </c>
      <c r="DQ228" s="1">
        <v>2</v>
      </c>
      <c r="DR228" s="1"/>
      <c r="DS228" s="1"/>
      <c r="DT228" s="1"/>
      <c r="DU228" s="1"/>
      <c r="DV228" s="1"/>
      <c r="DW228" s="1"/>
      <c r="DX228" s="1"/>
      <c r="DY228" s="1"/>
      <c r="DZ228" s="1"/>
      <c r="EA228" s="1"/>
    </row>
    <row r="229" spans="1:131" x14ac:dyDescent="0.3">
      <c r="A229">
        <v>10471765</v>
      </c>
      <c r="B229" s="1" t="s">
        <v>1013</v>
      </c>
      <c r="C229" s="1" t="s">
        <v>24</v>
      </c>
      <c r="D229" s="1">
        <v>2024</v>
      </c>
      <c r="E229" s="1">
        <v>1</v>
      </c>
      <c r="F229" s="10">
        <f>Table3[[#This Row],[First season 
with SF]]+Table3[[#This Row],['# Services 
provided]]</f>
        <v>2</v>
      </c>
      <c r="G229" s="26">
        <f>(Table3[[#This Row],[Total Income 
(Race + Price 
sold + Offs - maintenance cost)]]-Table3[[#This Row],[Price 
Bought]])/Table3[[#This Row],[Price 
Bought]]</f>
        <v>-1.0663202758620689</v>
      </c>
      <c r="H229" s="31">
        <f>Table3[[#This Row],[Race 
earnings]]+Table3[[#This Row],[Price 
Sold]]-Table3[[#This Row],[Maintenance cost]]+Table3[[#This Row],[Total 
profit (Income - cost)]]</f>
        <v>-19232.88</v>
      </c>
      <c r="I229" s="3">
        <f>_xlfn.IFNA(VLOOKUP(Table3[[#This Row],[damId]],Sheet1!$A$2:$M$970,5, FALSE), VLOOKUP(Table3[[#This Row],[dam]],Sheet1!$B$2:$M$970,4, FALSE))</f>
        <v>0</v>
      </c>
      <c r="J229" s="3">
        <f>_xlfn.IFNA(VLOOKUP(Table3[[#This Row],[damId]],Sheet1!$A$2:$M$970,13, FALSE), VLOOKUP(Table3[[#This Row],[dam]],Sheet1!$B$2:$M$970,13, FALSE))</f>
        <v>-290000</v>
      </c>
      <c r="K229" s="3">
        <f>_xlfn.IFNA(VLOOKUP(Table3[[#This Row],[damId]],Sheet1!$A$2:$M$970,11, FALSE), VLOOKUP(Table3[[#This Row],[dam]],Sheet1!$B$2:$M$970,11, FALSE))</f>
        <v>290000</v>
      </c>
      <c r="L229" s="3">
        <f>_xlfn.IFNA(VLOOKUP(Table3[[#This Row],[damId]],Sheet1!$A$2:$M$970,12, FALSE), VLOOKUP(Table3[[#This Row],[dam]],Sheet1!$B$2:$M$970,12, FALSE))</f>
        <v>0</v>
      </c>
      <c r="M229" s="3">
        <f>_xlfn.IFNA(VLOOKUP(Table3[[#This Row],[damId]],Sheet1!$A$2:$T$970,20, FALSE), VLOOKUP(Table3[[#This Row],[dam]],Sheet1!$B$2:$T$970,20, FALSE))*Sheet1!$AD$3</f>
        <v>19232.88</v>
      </c>
      <c r="N229" s="3">
        <f>Table3[[#This Row],[Total 
income (Earnings + value - stud fee)]]-Table3[[#This Row],[Maintenance cost ]]</f>
        <v>0</v>
      </c>
      <c r="O229" s="3">
        <f>SUM(Table3[[#This Row],[income1]:[income12]])</f>
        <v>0</v>
      </c>
      <c r="P229" s="3">
        <f>_xlfn.IFNA(VLOOKUP(Table3[[#This Row],[damId]],Sheet1!$A$2:$Y$970,23, FALSE), VLOOKUP(Table3[[#This Row],[dam]],Sheet1!$B$2:$Y$970,23, FALSE))*Sheet1!$AD$3</f>
        <v>0</v>
      </c>
      <c r="Q229" s="3">
        <f>SUM(Table3[[#This Row],[earningsInRaces1]:[earningsInRaces12]])</f>
        <v>0</v>
      </c>
      <c r="R229" s="3">
        <f>SUM(Table3[[#This Row],[auctionPrice1]:[auctionPrice12]])</f>
        <v>0</v>
      </c>
      <c r="S229" s="3">
        <f>SUM(Table3[[#This Row],[studFeeUSD1]:[studFeeUSD12]])</f>
        <v>0</v>
      </c>
      <c r="T229" s="7">
        <f>COUNT(Table3[[#This Row],[successfulService1]:[successfulService12]])</f>
        <v>1</v>
      </c>
      <c r="U229" s="7">
        <f>SUM(Table3[[#This Row],[successfulService1]:[successfulService12]])</f>
        <v>1</v>
      </c>
      <c r="V229" s="7">
        <f>SUM(Table3[[#This Row],[soldInAuction1]:[soldInAuction12]])</f>
        <v>0</v>
      </c>
      <c r="W229" s="7">
        <f>SUM(Table3[[#This Row],[foreignHorse1]:[foreignHorse12]])</f>
        <v>0</v>
      </c>
      <c r="X229" s="3">
        <v>0</v>
      </c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>
        <v>0</v>
      </c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>
        <v>1</v>
      </c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>
        <v>0</v>
      </c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>
        <v>0</v>
      </c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>
        <v>1</v>
      </c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</row>
    <row r="230" spans="1:131" x14ac:dyDescent="0.3">
      <c r="A230">
        <v>10617807</v>
      </c>
      <c r="B230" s="1" t="s">
        <v>1093</v>
      </c>
      <c r="C230" s="1" t="s">
        <v>24</v>
      </c>
      <c r="D230" s="1">
        <v>2024</v>
      </c>
      <c r="E230" s="1">
        <v>1</v>
      </c>
      <c r="F230" s="10">
        <f>Table3[[#This Row],[First season 
with SF]]+Table3[[#This Row],['# Services 
provided]]</f>
        <v>3</v>
      </c>
      <c r="G230" s="26">
        <f>(Table3[[#This Row],[Total Income 
(Race + Price 
sold + Offs - maintenance cost)]]-Table3[[#This Row],[Price 
Bought]])/Table3[[#This Row],[Price 
Bought]]</f>
        <v>-1.4870928444444445</v>
      </c>
      <c r="H230" s="31">
        <f>Table3[[#This Row],[Race 
earnings]]+Table3[[#This Row],[Price 
Sold]]-Table3[[#This Row],[Maintenance cost]]+Table3[[#This Row],[Total 
profit (Income - cost)]]</f>
        <v>-219191.78</v>
      </c>
      <c r="I230" s="3">
        <f>_xlfn.IFNA(VLOOKUP(Table3[[#This Row],[damId]],Sheet1!$A$2:$M$970,5, FALSE), VLOOKUP(Table3[[#This Row],[dam]],Sheet1!$B$2:$M$970,4, FALSE))</f>
        <v>0</v>
      </c>
      <c r="J230" s="3">
        <f>_xlfn.IFNA(VLOOKUP(Table3[[#This Row],[damId]],Sheet1!$A$2:$M$970,13, FALSE), VLOOKUP(Table3[[#This Row],[dam]],Sheet1!$B$2:$M$970,13, FALSE))</f>
        <v>-450000</v>
      </c>
      <c r="K230" s="3">
        <f>_xlfn.IFNA(VLOOKUP(Table3[[#This Row],[damId]],Sheet1!$A$2:$M$970,11, FALSE), VLOOKUP(Table3[[#This Row],[dam]],Sheet1!$B$2:$M$970,11, FALSE))</f>
        <v>450000</v>
      </c>
      <c r="L230" s="3">
        <f>_xlfn.IFNA(VLOOKUP(Table3[[#This Row],[damId]],Sheet1!$A$2:$M$970,12, FALSE), VLOOKUP(Table3[[#This Row],[dam]],Sheet1!$B$2:$M$970,12, FALSE))</f>
        <v>0</v>
      </c>
      <c r="M230" s="3">
        <f>_xlfn.IFNA(VLOOKUP(Table3[[#This Row],[damId]],Sheet1!$A$2:$T$970,20, FALSE), VLOOKUP(Table3[[#This Row],[dam]],Sheet1!$B$2:$T$970,20, FALSE))*Sheet1!$AD$3</f>
        <v>19191.78</v>
      </c>
      <c r="N230" s="3">
        <f>Table3[[#This Row],[Total 
income (Earnings + value - stud fee)]]-Table3[[#This Row],[Maintenance cost ]]</f>
        <v>-200000</v>
      </c>
      <c r="O230" s="3">
        <f>SUM(Table3[[#This Row],[income1]:[income12]])</f>
        <v>-200000</v>
      </c>
      <c r="P230" s="3">
        <f>_xlfn.IFNA(VLOOKUP(Table3[[#This Row],[damId]],Sheet1!$A$2:$Y$970,23, FALSE), VLOOKUP(Table3[[#This Row],[dam]],Sheet1!$B$2:$Y$970,23, FALSE))*Sheet1!$AD$3</f>
        <v>0</v>
      </c>
      <c r="Q230" s="3">
        <f>SUM(Table3[[#This Row],[earningsInRaces1]:[earningsInRaces12]])</f>
        <v>0</v>
      </c>
      <c r="R230" s="3">
        <f>SUM(Table3[[#This Row],[auctionPrice1]:[auctionPrice12]])</f>
        <v>0</v>
      </c>
      <c r="S230" s="3">
        <f>SUM(Table3[[#This Row],[studFeeUSD1]:[studFeeUSD12]])</f>
        <v>-200000</v>
      </c>
      <c r="T230" s="7">
        <f>COUNT(Table3[[#This Row],[successfulService1]:[successfulService12]])</f>
        <v>2</v>
      </c>
      <c r="U230" s="7">
        <f>SUM(Table3[[#This Row],[successfulService1]:[successfulService12]])</f>
        <v>1</v>
      </c>
      <c r="V230" s="7">
        <f>SUM(Table3[[#This Row],[soldInAuction1]:[soldInAuction12]])</f>
        <v>0</v>
      </c>
      <c r="W230" s="7">
        <f>SUM(Table3[[#This Row],[foreignHorse1]:[foreignHorse12]])</f>
        <v>0</v>
      </c>
      <c r="X230" s="3">
        <v>0</v>
      </c>
      <c r="Y230" s="3">
        <v>-200000</v>
      </c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>
        <v>0</v>
      </c>
      <c r="BI230" s="3">
        <v>-200000</v>
      </c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>
        <v>1</v>
      </c>
      <c r="CG230" s="1">
        <v>0</v>
      </c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>
        <v>0</v>
      </c>
      <c r="CS230" s="1">
        <v>0</v>
      </c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>
        <v>0</v>
      </c>
      <c r="DE230" s="1">
        <v>0</v>
      </c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>
        <v>1</v>
      </c>
      <c r="DQ230" s="1">
        <v>2</v>
      </c>
      <c r="DR230" s="1"/>
      <c r="DS230" s="1"/>
      <c r="DT230" s="1"/>
      <c r="DU230" s="1"/>
      <c r="DV230" s="1"/>
      <c r="DW230" s="1"/>
      <c r="DX230" s="1"/>
      <c r="DY230" s="1"/>
      <c r="DZ230" s="1"/>
      <c r="EA230" s="1"/>
    </row>
    <row r="231" spans="1:131" x14ac:dyDescent="0.3">
      <c r="A231">
        <v>9111587</v>
      </c>
      <c r="B231" s="1" t="s">
        <v>428</v>
      </c>
      <c r="C231" s="1" t="s">
        <v>24</v>
      </c>
      <c r="D231" s="1">
        <v>2025</v>
      </c>
      <c r="E231" s="1">
        <v>8</v>
      </c>
      <c r="F231" s="10">
        <f>Table3[[#This Row],[First season 
with SF]]+Table3[[#This Row],['# Services 
provided]]</f>
        <v>9</v>
      </c>
      <c r="G231" s="26">
        <f>(Table3[[#This Row],[Total Income 
(Race + Price 
sold + Offs - maintenance cost)]]-Table3[[#This Row],[Price 
Bought]])/Table3[[#This Row],[Price 
Bought]]</f>
        <v>-1.0564383599999998</v>
      </c>
      <c r="H231" s="31">
        <f>Table3[[#This Row],[Race 
earnings]]+Table3[[#This Row],[Price 
Sold]]-Table3[[#This Row],[Maintenance cost]]+Table3[[#This Row],[Total 
profit (Income - cost)]]</f>
        <v>-4232.8769999999995</v>
      </c>
      <c r="I231" s="3">
        <f>_xlfn.IFNA(VLOOKUP(Table3[[#This Row],[damId]],Sheet1!$A$2:$M$970,5, FALSE), VLOOKUP(Table3[[#This Row],[dam]],Sheet1!$B$2:$M$970,4, FALSE))</f>
        <v>0</v>
      </c>
      <c r="J231" s="3">
        <f>_xlfn.IFNA(VLOOKUP(Table3[[#This Row],[damId]],Sheet1!$A$2:$M$970,13, FALSE), VLOOKUP(Table3[[#This Row],[dam]],Sheet1!$B$2:$M$970,13, FALSE))</f>
        <v>-75000</v>
      </c>
      <c r="K231" s="3">
        <f>_xlfn.IFNA(VLOOKUP(Table3[[#This Row],[damId]],Sheet1!$A$2:$M$970,11, FALSE), VLOOKUP(Table3[[#This Row],[dam]],Sheet1!$B$2:$M$970,11, FALSE))</f>
        <v>75000</v>
      </c>
      <c r="L231" s="3">
        <f>_xlfn.IFNA(VLOOKUP(Table3[[#This Row],[damId]],Sheet1!$A$2:$M$970,12, FALSE), VLOOKUP(Table3[[#This Row],[dam]],Sheet1!$B$2:$M$970,12, FALSE))</f>
        <v>0</v>
      </c>
      <c r="M231" s="3">
        <f>_xlfn.IFNA(VLOOKUP(Table3[[#This Row],[damId]],Sheet1!$A$2:$T$970,20, FALSE), VLOOKUP(Table3[[#This Row],[dam]],Sheet1!$B$2:$T$970,20, FALSE))*Sheet1!$AD$3</f>
        <v>4232.8769999999995</v>
      </c>
      <c r="N231" s="3">
        <f>Table3[[#This Row],[Total 
income (Earnings + value - stud fee)]]-Table3[[#This Row],[Maintenance cost ]]</f>
        <v>0</v>
      </c>
      <c r="O231" s="3">
        <f>SUM(Table3[[#This Row],[income1]:[income12]])</f>
        <v>0</v>
      </c>
      <c r="P231" s="3">
        <f>_xlfn.IFNA(VLOOKUP(Table3[[#This Row],[damId]],Sheet1!$A$2:$Y$970,23, FALSE), VLOOKUP(Table3[[#This Row],[dam]],Sheet1!$B$2:$Y$970,23, FALSE))*Sheet1!$AD$3</f>
        <v>0</v>
      </c>
      <c r="Q231" s="3">
        <f>SUM(Table3[[#This Row],[earningsInRaces1]:[earningsInRaces12]])</f>
        <v>0</v>
      </c>
      <c r="R231" s="3">
        <f>SUM(Table3[[#This Row],[auctionPrice1]:[auctionPrice12]])</f>
        <v>0</v>
      </c>
      <c r="S231" s="3">
        <f>SUM(Table3[[#This Row],[studFeeUSD1]:[studFeeUSD12]])</f>
        <v>0</v>
      </c>
      <c r="T231" s="7">
        <f>COUNT(Table3[[#This Row],[successfulService1]:[successfulService12]])</f>
        <v>1</v>
      </c>
      <c r="U231" s="7">
        <f>SUM(Table3[[#This Row],[successfulService1]:[successfulService12]])</f>
        <v>0</v>
      </c>
      <c r="V231" s="7">
        <f>SUM(Table3[[#This Row],[soldInAuction1]:[soldInAuction12]])</f>
        <v>0</v>
      </c>
      <c r="W231" s="7">
        <f>SUM(Table3[[#This Row],[foreignHorse1]:[foreignHorse12]])</f>
        <v>0</v>
      </c>
      <c r="X231" s="3">
        <v>0</v>
      </c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>
        <v>0</v>
      </c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>
        <v>0</v>
      </c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>
        <v>0</v>
      </c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>
        <v>0</v>
      </c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>
        <v>8</v>
      </c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</row>
    <row r="232" spans="1:131" x14ac:dyDescent="0.3">
      <c r="A232">
        <v>10409770</v>
      </c>
      <c r="B232" s="1" t="s">
        <v>932</v>
      </c>
      <c r="C232" s="1" t="s">
        <v>139</v>
      </c>
      <c r="D232" s="1">
        <v>2025</v>
      </c>
      <c r="E232" s="1">
        <v>1</v>
      </c>
      <c r="F232" s="10">
        <f>Table3[[#This Row],[First season 
with SF]]+Table3[[#This Row],['# Services 
provided]]</f>
        <v>2</v>
      </c>
      <c r="G232" s="26">
        <f>(Table3[[#This Row],[Total Income 
(Race + Price 
sold + Offs - maintenance cost)]]-Table3[[#This Row],[Price 
Bought]])/Table3[[#This Row],[Price 
Bought]]</f>
        <v>-1.1516812272727273</v>
      </c>
      <c r="H232" s="31">
        <f>Table3[[#This Row],[Race 
earnings]]+Table3[[#This Row],[Price 
Sold]]-Table3[[#This Row],[Maintenance cost]]+Table3[[#This Row],[Total 
profit (Income - cost)]]</f>
        <v>-16684.934999999998</v>
      </c>
      <c r="I232" s="3">
        <f>_xlfn.IFNA(VLOOKUP(Table3[[#This Row],[damId]],Sheet1!$A$2:$M$970,5, FALSE), VLOOKUP(Table3[[#This Row],[dam]],Sheet1!$B$2:$M$970,4, FALSE))</f>
        <v>0</v>
      </c>
      <c r="J232" s="3">
        <f>_xlfn.IFNA(VLOOKUP(Table3[[#This Row],[damId]],Sheet1!$A$2:$M$970,13, FALSE), VLOOKUP(Table3[[#This Row],[dam]],Sheet1!$B$2:$M$970,13, FALSE))</f>
        <v>-110000</v>
      </c>
      <c r="K232" s="3">
        <f>_xlfn.IFNA(VLOOKUP(Table3[[#This Row],[damId]],Sheet1!$A$2:$M$970,11, FALSE), VLOOKUP(Table3[[#This Row],[dam]],Sheet1!$B$2:$M$970,11, FALSE))</f>
        <v>110000</v>
      </c>
      <c r="L232" s="3">
        <f>_xlfn.IFNA(VLOOKUP(Table3[[#This Row],[damId]],Sheet1!$A$2:$M$970,12, FALSE), VLOOKUP(Table3[[#This Row],[dam]],Sheet1!$B$2:$M$970,12, FALSE))</f>
        <v>0</v>
      </c>
      <c r="M232" s="3">
        <f>_xlfn.IFNA(VLOOKUP(Table3[[#This Row],[damId]],Sheet1!$A$2:$T$970,20, FALSE), VLOOKUP(Table3[[#This Row],[dam]],Sheet1!$B$2:$T$970,20, FALSE))*Sheet1!$AD$3</f>
        <v>16684.934999999998</v>
      </c>
      <c r="N232" s="3">
        <f>Table3[[#This Row],[Total 
income (Earnings + value - stud fee)]]-Table3[[#This Row],[Maintenance cost ]]</f>
        <v>0</v>
      </c>
      <c r="O232" s="3">
        <f>SUM(Table3[[#This Row],[income1]:[income12]])</f>
        <v>0</v>
      </c>
      <c r="P232" s="3">
        <f>_xlfn.IFNA(VLOOKUP(Table3[[#This Row],[damId]],Sheet1!$A$2:$Y$970,23, FALSE), VLOOKUP(Table3[[#This Row],[dam]],Sheet1!$B$2:$Y$970,23, FALSE))*Sheet1!$AD$3</f>
        <v>0</v>
      </c>
      <c r="Q232" s="3">
        <f>SUM(Table3[[#This Row],[earningsInRaces1]:[earningsInRaces12]])</f>
        <v>0</v>
      </c>
      <c r="R232" s="3">
        <f>SUM(Table3[[#This Row],[auctionPrice1]:[auctionPrice12]])</f>
        <v>0</v>
      </c>
      <c r="S232" s="3">
        <f>SUM(Table3[[#This Row],[studFeeUSD1]:[studFeeUSD12]])</f>
        <v>0</v>
      </c>
      <c r="T232" s="7">
        <f>COUNT(Table3[[#This Row],[successfulService1]:[successfulService12]])</f>
        <v>1</v>
      </c>
      <c r="U232" s="7">
        <f>SUM(Table3[[#This Row],[successfulService1]:[successfulService12]])</f>
        <v>0</v>
      </c>
      <c r="V232" s="7">
        <f>SUM(Table3[[#This Row],[soldInAuction1]:[soldInAuction12]])</f>
        <v>0</v>
      </c>
      <c r="W232" s="7">
        <f>SUM(Table3[[#This Row],[foreignHorse1]:[foreignHorse12]])</f>
        <v>0</v>
      </c>
      <c r="X232" s="3">
        <v>0</v>
      </c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>
        <v>0</v>
      </c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>
        <v>0</v>
      </c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>
        <v>0</v>
      </c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>
        <v>1</v>
      </c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</row>
    <row r="233" spans="1:131" x14ac:dyDescent="0.3">
      <c r="A233">
        <v>10452103</v>
      </c>
      <c r="B233" s="1" t="s">
        <v>989</v>
      </c>
      <c r="C233" s="1" t="s">
        <v>139</v>
      </c>
      <c r="D233" s="1">
        <v>2025</v>
      </c>
      <c r="E233" s="1">
        <v>1</v>
      </c>
      <c r="F233" s="10">
        <f>Table3[[#This Row],[First season 
with SF]]+Table3[[#This Row],['# Services 
provided]]</f>
        <v>2</v>
      </c>
      <c r="G233" s="26">
        <f>(Table3[[#This Row],[Total Income 
(Race + Price 
sold + Offs - maintenance cost)]]-Table3[[#This Row],[Price 
Bought]])/Table3[[#This Row],[Price 
Bought]]</f>
        <v>-1.8430453076923079</v>
      </c>
      <c r="H233" s="31">
        <f>Table3[[#This Row],[Race 
earnings]]+Table3[[#This Row],[Price 
Sold]]-Table3[[#This Row],[Maintenance cost]]+Table3[[#This Row],[Total 
profit (Income - cost)]]</f>
        <v>-219191.78</v>
      </c>
      <c r="I233" s="3">
        <f>_xlfn.IFNA(VLOOKUP(Table3[[#This Row],[damId]],Sheet1!$A$2:$M$970,5, FALSE), VLOOKUP(Table3[[#This Row],[dam]],Sheet1!$B$2:$M$970,4, FALSE))</f>
        <v>0</v>
      </c>
      <c r="J233" s="3">
        <f>_xlfn.IFNA(VLOOKUP(Table3[[#This Row],[damId]],Sheet1!$A$2:$M$970,13, FALSE), VLOOKUP(Table3[[#This Row],[dam]],Sheet1!$B$2:$M$970,13, FALSE))</f>
        <v>-260000</v>
      </c>
      <c r="K233" s="3">
        <f>_xlfn.IFNA(VLOOKUP(Table3[[#This Row],[damId]],Sheet1!$A$2:$M$970,11, FALSE), VLOOKUP(Table3[[#This Row],[dam]],Sheet1!$B$2:$M$970,11, FALSE))</f>
        <v>260000</v>
      </c>
      <c r="L233" s="3">
        <f>_xlfn.IFNA(VLOOKUP(Table3[[#This Row],[damId]],Sheet1!$A$2:$M$970,12, FALSE), VLOOKUP(Table3[[#This Row],[dam]],Sheet1!$B$2:$M$970,12, FALSE))</f>
        <v>0</v>
      </c>
      <c r="M233" s="3">
        <f>_xlfn.IFNA(VLOOKUP(Table3[[#This Row],[damId]],Sheet1!$A$2:$T$970,20, FALSE), VLOOKUP(Table3[[#This Row],[dam]],Sheet1!$B$2:$T$970,20, FALSE))*Sheet1!$AD$3</f>
        <v>19191.78</v>
      </c>
      <c r="N233" s="3">
        <f>Table3[[#This Row],[Total 
income (Earnings + value - stud fee)]]-Table3[[#This Row],[Maintenance cost ]]</f>
        <v>-200000</v>
      </c>
      <c r="O233" s="3">
        <f>SUM(Table3[[#This Row],[income1]:[income12]])</f>
        <v>-200000</v>
      </c>
      <c r="P233" s="3">
        <f>_xlfn.IFNA(VLOOKUP(Table3[[#This Row],[damId]],Sheet1!$A$2:$Y$970,23, FALSE), VLOOKUP(Table3[[#This Row],[dam]],Sheet1!$B$2:$Y$970,23, FALSE))*Sheet1!$AD$3</f>
        <v>0</v>
      </c>
      <c r="Q233" s="3">
        <f>SUM(Table3[[#This Row],[earningsInRaces1]:[earningsInRaces12]])</f>
        <v>0</v>
      </c>
      <c r="R233" s="3">
        <f>SUM(Table3[[#This Row],[auctionPrice1]:[auctionPrice12]])</f>
        <v>0</v>
      </c>
      <c r="S233" s="3">
        <f>SUM(Table3[[#This Row],[studFeeUSD1]:[studFeeUSD12]])</f>
        <v>-200000</v>
      </c>
      <c r="T233" s="7">
        <f>COUNT(Table3[[#This Row],[successfulService1]:[successfulService12]])</f>
        <v>1</v>
      </c>
      <c r="U233" s="7">
        <f>SUM(Table3[[#This Row],[successfulService1]:[successfulService12]])</f>
        <v>0</v>
      </c>
      <c r="V233" s="7">
        <f>SUM(Table3[[#This Row],[soldInAuction1]:[soldInAuction12]])</f>
        <v>0</v>
      </c>
      <c r="W233" s="7">
        <f>SUM(Table3[[#This Row],[foreignHorse1]:[foreignHorse12]])</f>
        <v>0</v>
      </c>
      <c r="X233" s="3">
        <v>-200000</v>
      </c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>
        <v>-200000</v>
      </c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>
        <v>0</v>
      </c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>
        <v>0</v>
      </c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>
        <v>0</v>
      </c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>
        <v>1</v>
      </c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</row>
    <row r="234" spans="1:131" x14ac:dyDescent="0.3">
      <c r="A234">
        <v>10475914</v>
      </c>
      <c r="B234" s="1" t="s">
        <v>1015</v>
      </c>
      <c r="C234" s="1" t="s">
        <v>139</v>
      </c>
      <c r="D234" s="1">
        <v>2025</v>
      </c>
      <c r="E234" s="1">
        <v>1</v>
      </c>
      <c r="F234" s="10">
        <f>Table3[[#This Row],[First season 
with SF]]+Table3[[#This Row],['# Services 
provided]]</f>
        <v>2</v>
      </c>
      <c r="G234" s="26">
        <f>(Table3[[#This Row],[Total Income 
(Race + Price 
sold + Offs - maintenance cost)]]-Table3[[#This Row],[Price 
Bought]])/Table3[[#This Row],[Price 
Bought]]</f>
        <v>-2.6664910384615381</v>
      </c>
      <c r="H234" s="31">
        <f>Table3[[#This Row],[Race 
earnings]]+Table3[[#This Row],[Price 
Sold]]-Table3[[#This Row],[Maintenance cost]]+Table3[[#This Row],[Total 
profit (Income - cost)]]</f>
        <v>-216643.83499999999</v>
      </c>
      <c r="I234" s="3">
        <f>_xlfn.IFNA(VLOOKUP(Table3[[#This Row],[damId]],Sheet1!$A$2:$M$970,5, FALSE), VLOOKUP(Table3[[#This Row],[dam]],Sheet1!$B$2:$M$970,4, FALSE))</f>
        <v>0</v>
      </c>
      <c r="J234" s="3">
        <f>_xlfn.IFNA(VLOOKUP(Table3[[#This Row],[damId]],Sheet1!$A$2:$M$970,13, FALSE), VLOOKUP(Table3[[#This Row],[dam]],Sheet1!$B$2:$M$970,13, FALSE))</f>
        <v>-130000</v>
      </c>
      <c r="K234" s="3">
        <f>_xlfn.IFNA(VLOOKUP(Table3[[#This Row],[damId]],Sheet1!$A$2:$M$970,11, FALSE), VLOOKUP(Table3[[#This Row],[dam]],Sheet1!$B$2:$M$970,11, FALSE))</f>
        <v>130000</v>
      </c>
      <c r="L234" s="3">
        <f>_xlfn.IFNA(VLOOKUP(Table3[[#This Row],[damId]],Sheet1!$A$2:$M$970,12, FALSE), VLOOKUP(Table3[[#This Row],[dam]],Sheet1!$B$2:$M$970,12, FALSE))</f>
        <v>0</v>
      </c>
      <c r="M234" s="3">
        <f>_xlfn.IFNA(VLOOKUP(Table3[[#This Row],[damId]],Sheet1!$A$2:$T$970,20, FALSE), VLOOKUP(Table3[[#This Row],[dam]],Sheet1!$B$2:$T$970,20, FALSE))*Sheet1!$AD$3</f>
        <v>16643.834999999999</v>
      </c>
      <c r="N234" s="3">
        <f>Table3[[#This Row],[Total 
income (Earnings + value - stud fee)]]-Table3[[#This Row],[Maintenance cost ]]</f>
        <v>-200000</v>
      </c>
      <c r="O234" s="3">
        <f>SUM(Table3[[#This Row],[income1]:[income12]])</f>
        <v>-200000</v>
      </c>
      <c r="P234" s="3">
        <f>_xlfn.IFNA(VLOOKUP(Table3[[#This Row],[damId]],Sheet1!$A$2:$Y$970,23, FALSE), VLOOKUP(Table3[[#This Row],[dam]],Sheet1!$B$2:$Y$970,23, FALSE))*Sheet1!$AD$3</f>
        <v>0</v>
      </c>
      <c r="Q234" s="3">
        <f>SUM(Table3[[#This Row],[earningsInRaces1]:[earningsInRaces12]])</f>
        <v>0</v>
      </c>
      <c r="R234" s="3">
        <f>SUM(Table3[[#This Row],[auctionPrice1]:[auctionPrice12]])</f>
        <v>0</v>
      </c>
      <c r="S234" s="3">
        <f>SUM(Table3[[#This Row],[studFeeUSD1]:[studFeeUSD12]])</f>
        <v>-200000</v>
      </c>
      <c r="T234" s="7">
        <f>COUNT(Table3[[#This Row],[successfulService1]:[successfulService12]])</f>
        <v>1</v>
      </c>
      <c r="U234" s="7">
        <f>SUM(Table3[[#This Row],[successfulService1]:[successfulService12]])</f>
        <v>0</v>
      </c>
      <c r="V234" s="7">
        <f>SUM(Table3[[#This Row],[soldInAuction1]:[soldInAuction12]])</f>
        <v>0</v>
      </c>
      <c r="W234" s="7">
        <f>SUM(Table3[[#This Row],[foreignHorse1]:[foreignHorse12]])</f>
        <v>0</v>
      </c>
      <c r="X234" s="3">
        <v>-200000</v>
      </c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>
        <v>-200000</v>
      </c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>
        <v>0</v>
      </c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>
        <v>0</v>
      </c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>
        <v>0</v>
      </c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>
        <v>1</v>
      </c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</row>
    <row r="235" spans="1:131" x14ac:dyDescent="0.3">
      <c r="A235">
        <v>10744987</v>
      </c>
      <c r="B235" s="1" t="s">
        <v>1148</v>
      </c>
      <c r="C235" s="1" t="s">
        <v>24</v>
      </c>
      <c r="D235" s="1">
        <v>2025</v>
      </c>
      <c r="E235" s="1">
        <v>1</v>
      </c>
      <c r="F235" s="10">
        <f>Table3[[#This Row],[First season 
with SF]]+Table3[[#This Row],['# Services 
provided]]</f>
        <v>2</v>
      </c>
      <c r="G235" s="26">
        <f>(Table3[[#This Row],[Total Income 
(Race + Price 
sold + Offs - maintenance cost)]]-Table3[[#This Row],[Price 
Bought]])/Table3[[#This Row],[Price 
Bought]]</f>
        <v>-1.033205476</v>
      </c>
      <c r="H235" s="31">
        <f>Table3[[#This Row],[Race 
earnings]]+Table3[[#This Row],[Price 
Sold]]-Table3[[#This Row],[Maintenance cost]]+Table3[[#This Row],[Total 
profit (Income - cost)]]</f>
        <v>-4150.6845000000003</v>
      </c>
      <c r="I235" s="3">
        <f>_xlfn.IFNA(VLOOKUP(Table3[[#This Row],[damId]],Sheet1!$A$2:$M$970,5, FALSE), VLOOKUP(Table3[[#This Row],[dam]],Sheet1!$B$2:$M$970,4, FALSE))</f>
        <v>0</v>
      </c>
      <c r="J235" s="3">
        <f>_xlfn.IFNA(VLOOKUP(Table3[[#This Row],[damId]],Sheet1!$A$2:$M$970,13, FALSE), VLOOKUP(Table3[[#This Row],[dam]],Sheet1!$B$2:$M$970,13, FALSE))</f>
        <v>-125000</v>
      </c>
      <c r="K235" s="3">
        <f>_xlfn.IFNA(VLOOKUP(Table3[[#This Row],[damId]],Sheet1!$A$2:$M$970,11, FALSE), VLOOKUP(Table3[[#This Row],[dam]],Sheet1!$B$2:$M$970,11, FALSE))</f>
        <v>125000</v>
      </c>
      <c r="L235" s="3">
        <f>_xlfn.IFNA(VLOOKUP(Table3[[#This Row],[damId]],Sheet1!$A$2:$M$970,12, FALSE), VLOOKUP(Table3[[#This Row],[dam]],Sheet1!$B$2:$M$970,12, FALSE))</f>
        <v>0</v>
      </c>
      <c r="M235" s="3">
        <f>_xlfn.IFNA(VLOOKUP(Table3[[#This Row],[damId]],Sheet1!$A$2:$T$970,20, FALSE), VLOOKUP(Table3[[#This Row],[dam]],Sheet1!$B$2:$T$970,20, FALSE))*Sheet1!$AD$3</f>
        <v>4150.6845000000003</v>
      </c>
      <c r="N235" s="3">
        <f>Table3[[#This Row],[Total 
income (Earnings + value - stud fee)]]-Table3[[#This Row],[Maintenance cost ]]</f>
        <v>0</v>
      </c>
      <c r="O235" s="3">
        <f>SUM(Table3[[#This Row],[income1]:[income12]])</f>
        <v>0</v>
      </c>
      <c r="P235" s="3">
        <f>_xlfn.IFNA(VLOOKUP(Table3[[#This Row],[damId]],Sheet1!$A$2:$Y$970,23, FALSE), VLOOKUP(Table3[[#This Row],[dam]],Sheet1!$B$2:$Y$970,23, FALSE))*Sheet1!$AD$3</f>
        <v>0</v>
      </c>
      <c r="Q235" s="3">
        <f>SUM(Table3[[#This Row],[earningsInRaces1]:[earningsInRaces12]])</f>
        <v>0</v>
      </c>
      <c r="R235" s="3">
        <f>SUM(Table3[[#This Row],[auctionPrice1]:[auctionPrice12]])</f>
        <v>0</v>
      </c>
      <c r="S235" s="3">
        <f>SUM(Table3[[#This Row],[studFeeUSD1]:[studFeeUSD12]])</f>
        <v>0</v>
      </c>
      <c r="T235" s="7">
        <f>COUNT(Table3[[#This Row],[successfulService1]:[successfulService12]])</f>
        <v>1</v>
      </c>
      <c r="U235" s="7">
        <f>SUM(Table3[[#This Row],[successfulService1]:[successfulService12]])</f>
        <v>0</v>
      </c>
      <c r="V235" s="7">
        <f>SUM(Table3[[#This Row],[soldInAuction1]:[soldInAuction12]])</f>
        <v>0</v>
      </c>
      <c r="W235" s="7">
        <f>SUM(Table3[[#This Row],[foreignHorse1]:[foreignHorse12]])</f>
        <v>0</v>
      </c>
      <c r="X235" s="3">
        <v>0</v>
      </c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>
        <v>0</v>
      </c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>
        <v>0</v>
      </c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>
        <v>0</v>
      </c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>
        <v>0</v>
      </c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>
        <v>1</v>
      </c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</row>
    <row r="236" spans="1:131" x14ac:dyDescent="0.3">
      <c r="A236">
        <v>10794594</v>
      </c>
      <c r="B236" s="1" t="s">
        <v>1216</v>
      </c>
      <c r="C236" s="1" t="s">
        <v>24</v>
      </c>
      <c r="D236" s="1">
        <v>2025</v>
      </c>
      <c r="E236" s="1">
        <v>1</v>
      </c>
      <c r="F236" s="10">
        <f>Table3[[#This Row],[First season 
with SF]]+Table3[[#This Row],['# Services 
provided]]</f>
        <v>2</v>
      </c>
      <c r="G236" s="26">
        <f>(Table3[[#This Row],[Total Income 
(Race + Price 
sold + Offs - maintenance cost)]]-Table3[[#This Row],[Price 
Bought]])/Table3[[#This Row],[Price 
Bought]]</f>
        <v>-1.025941778125</v>
      </c>
      <c r="H236" s="31">
        <f>Table3[[#This Row],[Race 
earnings]]+Table3[[#This Row],[Price 
Sold]]-Table3[[#This Row],[Maintenance cost]]+Table3[[#This Row],[Total 
profit (Income - cost)]]</f>
        <v>-4150.6845000000003</v>
      </c>
      <c r="I236" s="3">
        <f>_xlfn.IFNA(VLOOKUP(Table3[[#This Row],[damId]],Sheet1!$A$2:$M$970,5, FALSE), VLOOKUP(Table3[[#This Row],[dam]],Sheet1!$B$2:$M$970,4, FALSE))</f>
        <v>0</v>
      </c>
      <c r="J236" s="3">
        <f>_xlfn.IFNA(VLOOKUP(Table3[[#This Row],[damId]],Sheet1!$A$2:$M$970,13, FALSE), VLOOKUP(Table3[[#This Row],[dam]],Sheet1!$B$2:$M$970,13, FALSE))</f>
        <v>-160000</v>
      </c>
      <c r="K236" s="3">
        <f>_xlfn.IFNA(VLOOKUP(Table3[[#This Row],[damId]],Sheet1!$A$2:$M$970,11, FALSE), VLOOKUP(Table3[[#This Row],[dam]],Sheet1!$B$2:$M$970,11, FALSE))</f>
        <v>160000</v>
      </c>
      <c r="L236" s="3">
        <f>_xlfn.IFNA(VLOOKUP(Table3[[#This Row],[damId]],Sheet1!$A$2:$M$970,12, FALSE), VLOOKUP(Table3[[#This Row],[dam]],Sheet1!$B$2:$M$970,12, FALSE))</f>
        <v>0</v>
      </c>
      <c r="M236" s="3">
        <f>_xlfn.IFNA(VLOOKUP(Table3[[#This Row],[damId]],Sheet1!$A$2:$T$970,20, FALSE), VLOOKUP(Table3[[#This Row],[dam]],Sheet1!$B$2:$T$970,20, FALSE))*Sheet1!$AD$3</f>
        <v>4150.6845000000003</v>
      </c>
      <c r="N236" s="3">
        <f>Table3[[#This Row],[Total 
income (Earnings + value - stud fee)]]-Table3[[#This Row],[Maintenance cost ]]</f>
        <v>0</v>
      </c>
      <c r="O236" s="3">
        <f>SUM(Table3[[#This Row],[income1]:[income12]])</f>
        <v>0</v>
      </c>
      <c r="P236" s="3">
        <f>_xlfn.IFNA(VLOOKUP(Table3[[#This Row],[damId]],Sheet1!$A$2:$Y$970,23, FALSE), VLOOKUP(Table3[[#This Row],[dam]],Sheet1!$B$2:$Y$970,23, FALSE))*Sheet1!$AD$3</f>
        <v>0</v>
      </c>
      <c r="Q236" s="3">
        <f>SUM(Table3[[#This Row],[earningsInRaces1]:[earningsInRaces12]])</f>
        <v>0</v>
      </c>
      <c r="R236" s="3">
        <f>SUM(Table3[[#This Row],[auctionPrice1]:[auctionPrice12]])</f>
        <v>0</v>
      </c>
      <c r="S236" s="3">
        <f>SUM(Table3[[#This Row],[studFeeUSD1]:[studFeeUSD12]])</f>
        <v>0</v>
      </c>
      <c r="T236" s="7">
        <f>COUNT(Table3[[#This Row],[successfulService1]:[successfulService12]])</f>
        <v>1</v>
      </c>
      <c r="U236" s="7">
        <f>SUM(Table3[[#This Row],[successfulService1]:[successfulService12]])</f>
        <v>0</v>
      </c>
      <c r="V236" s="7">
        <f>SUM(Table3[[#This Row],[soldInAuction1]:[soldInAuction12]])</f>
        <v>0</v>
      </c>
      <c r="W236" s="7">
        <f>SUM(Table3[[#This Row],[foreignHorse1]:[foreignHorse12]])</f>
        <v>0</v>
      </c>
      <c r="X236" s="3">
        <v>0</v>
      </c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>
        <v>0</v>
      </c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>
        <v>0</v>
      </c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>
        <v>0</v>
      </c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>
        <v>0</v>
      </c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>
        <v>1</v>
      </c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</row>
    <row r="237" spans="1:131" x14ac:dyDescent="0.3">
      <c r="A237">
        <v>10802857</v>
      </c>
      <c r="B237" s="1" t="s">
        <v>1241</v>
      </c>
      <c r="C237" s="1" t="s">
        <v>139</v>
      </c>
      <c r="D237" s="1">
        <v>2025</v>
      </c>
      <c r="E237" s="1">
        <v>1</v>
      </c>
      <c r="F237" s="10">
        <f>Table3[[#This Row],[First season 
with SF]]+Table3[[#This Row],['# Services 
provided]]</f>
        <v>2</v>
      </c>
      <c r="G237" s="26">
        <f>(Table3[[#This Row],[Total Income 
(Race + Price 
sold + Offs - maintenance cost)]]-Table3[[#This Row],[Price 
Bought]])/Table3[[#This Row],[Price 
Bought]]</f>
        <v>-1.6202739725000002</v>
      </c>
      <c r="H237" s="31">
        <f>Table3[[#This Row],[Race 
earnings]]+Table3[[#This Row],[Price 
Sold]]-Table3[[#This Row],[Maintenance cost]]+Table3[[#This Row],[Total 
profit (Income - cost)]]</f>
        <v>-124054.7945</v>
      </c>
      <c r="I237" s="3">
        <f>_xlfn.IFNA(VLOOKUP(Table3[[#This Row],[damId]],Sheet1!$A$2:$M$970,5, FALSE), VLOOKUP(Table3[[#This Row],[dam]],Sheet1!$B$2:$M$970,4, FALSE))</f>
        <v>0</v>
      </c>
      <c r="J237" s="3">
        <f>_xlfn.IFNA(VLOOKUP(Table3[[#This Row],[damId]],Sheet1!$A$2:$M$970,13, FALSE), VLOOKUP(Table3[[#This Row],[dam]],Sheet1!$B$2:$M$970,13, FALSE))</f>
        <v>-200000</v>
      </c>
      <c r="K237" s="3">
        <f>_xlfn.IFNA(VLOOKUP(Table3[[#This Row],[damId]],Sheet1!$A$2:$M$970,11, FALSE), VLOOKUP(Table3[[#This Row],[dam]],Sheet1!$B$2:$M$970,11, FALSE))</f>
        <v>200000</v>
      </c>
      <c r="L237" s="3">
        <f>_xlfn.IFNA(VLOOKUP(Table3[[#This Row],[damId]],Sheet1!$A$2:$M$970,12, FALSE), VLOOKUP(Table3[[#This Row],[dam]],Sheet1!$B$2:$M$970,12, FALSE))</f>
        <v>0</v>
      </c>
      <c r="M237" s="3">
        <f>_xlfn.IFNA(VLOOKUP(Table3[[#This Row],[damId]],Sheet1!$A$2:$T$970,20, FALSE), VLOOKUP(Table3[[#This Row],[dam]],Sheet1!$B$2:$T$970,20, FALSE))*Sheet1!$AD$3</f>
        <v>14054.7945</v>
      </c>
      <c r="N237" s="3">
        <f>Table3[[#This Row],[Total 
income (Earnings + value - stud fee)]]-Table3[[#This Row],[Maintenance cost ]]</f>
        <v>-110000</v>
      </c>
      <c r="O237" s="3">
        <f>SUM(Table3[[#This Row],[income1]:[income12]])</f>
        <v>-110000</v>
      </c>
      <c r="P237" s="3">
        <f>_xlfn.IFNA(VLOOKUP(Table3[[#This Row],[damId]],Sheet1!$A$2:$Y$970,23, FALSE), VLOOKUP(Table3[[#This Row],[dam]],Sheet1!$B$2:$Y$970,23, FALSE))*Sheet1!$AD$3</f>
        <v>0</v>
      </c>
      <c r="Q237" s="3">
        <f>SUM(Table3[[#This Row],[earningsInRaces1]:[earningsInRaces12]])</f>
        <v>0</v>
      </c>
      <c r="R237" s="3">
        <f>SUM(Table3[[#This Row],[auctionPrice1]:[auctionPrice12]])</f>
        <v>0</v>
      </c>
      <c r="S237" s="3">
        <f>SUM(Table3[[#This Row],[studFeeUSD1]:[studFeeUSD12]])</f>
        <v>-110000</v>
      </c>
      <c r="T237" s="7">
        <f>COUNT(Table3[[#This Row],[successfulService1]:[successfulService12]])</f>
        <v>1</v>
      </c>
      <c r="U237" s="7">
        <f>SUM(Table3[[#This Row],[successfulService1]:[successfulService12]])</f>
        <v>0</v>
      </c>
      <c r="V237" s="7">
        <f>SUM(Table3[[#This Row],[soldInAuction1]:[soldInAuction12]])</f>
        <v>0</v>
      </c>
      <c r="W237" s="7">
        <f>SUM(Table3[[#This Row],[foreignHorse1]:[foreignHorse12]])</f>
        <v>0</v>
      </c>
      <c r="X237" s="3">
        <v>-110000</v>
      </c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>
        <v>-110000</v>
      </c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>
        <v>0</v>
      </c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>
        <v>0</v>
      </c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>
        <v>0</v>
      </c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>
        <v>1</v>
      </c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</row>
    <row r="239" spans="1:131" x14ac:dyDescent="0.3">
      <c r="F239" s="24"/>
      <c r="G239" s="24"/>
      <c r="H239" s="24"/>
    </row>
    <row r="240" spans="1:131" ht="28.8" x14ac:dyDescent="0.3">
      <c r="F240" s="32" t="s">
        <v>1689</v>
      </c>
      <c r="G240" s="25" t="s">
        <v>1688</v>
      </c>
      <c r="H240" s="25" t="s">
        <v>1687</v>
      </c>
    </row>
    <row r="241" spans="6:8" x14ac:dyDescent="0.3">
      <c r="F241" s="1">
        <v>1</v>
      </c>
      <c r="G241" s="1">
        <f>COUNTIF(Table3['# Services 
provided], F241)</f>
        <v>78</v>
      </c>
      <c r="H241" s="26">
        <f>SUMIF(Table3['# Services 
provided], F241,Table3[Return on Investment
(Total Income - Price bought / Price bought)])/G241</f>
        <v>0.22377316573254377</v>
      </c>
    </row>
    <row r="242" spans="6:8" x14ac:dyDescent="0.3">
      <c r="F242" s="1">
        <v>2</v>
      </c>
      <c r="G242" s="1">
        <f>COUNTIF(Table3['# Services 
provided], F242)</f>
        <v>38</v>
      </c>
      <c r="H242" s="26">
        <f>SUMIF(Table3['# Services 
provided], F242,Table3[Return on Investment
(Total Income - Price bought / Price bought)])/G242</f>
        <v>-0.78023049580963633</v>
      </c>
    </row>
    <row r="243" spans="6:8" x14ac:dyDescent="0.3">
      <c r="F243" s="1">
        <v>3</v>
      </c>
      <c r="G243" s="1">
        <f>COUNTIF(Table3['# Services 
provided], F243)</f>
        <v>29</v>
      </c>
      <c r="H243" s="26">
        <f>SUMIF(Table3['# Services 
provided], F243,Table3[Return on Investment
(Total Income - Price bought / Price bought)])/G243</f>
        <v>0.74086141311744624</v>
      </c>
    </row>
    <row r="244" spans="6:8" x14ac:dyDescent="0.3">
      <c r="F244" s="1">
        <v>4</v>
      </c>
      <c r="G244" s="1">
        <f>COUNTIF(Table3['# Services 
provided], F244)</f>
        <v>17</v>
      </c>
      <c r="H244" s="26">
        <f>SUMIF(Table3['# Services 
provided], F244,Table3[Return on Investment
(Total Income - Price bought / Price bought)])/G244</f>
        <v>-1.3815688671642217</v>
      </c>
    </row>
    <row r="245" spans="6:8" x14ac:dyDescent="0.3">
      <c r="F245" s="1">
        <v>5</v>
      </c>
      <c r="G245" s="1">
        <f>COUNTIF(Table3['# Services 
provided], F245)</f>
        <v>22</v>
      </c>
      <c r="H245" s="26">
        <f>SUMIF(Table3['# Services 
provided], F245,Table3[Return on Investment
(Total Income - Price bought / Price bought)])/G245</f>
        <v>0.86865819517111309</v>
      </c>
    </row>
    <row r="246" spans="6:8" x14ac:dyDescent="0.3">
      <c r="F246" s="1">
        <v>6</v>
      </c>
      <c r="G246" s="1">
        <f>COUNTIF(Table3['# Services 
provided], F246)</f>
        <v>16</v>
      </c>
      <c r="H246" s="26">
        <f>SUMIF(Table3['# Services 
provided], F246,Table3[Return on Investment
(Total Income - Price bought / Price bought)])/G246</f>
        <v>-1.8118564991837116</v>
      </c>
    </row>
    <row r="247" spans="6:8" x14ac:dyDescent="0.3">
      <c r="F247" s="1">
        <v>7</v>
      </c>
      <c r="G247" s="1">
        <f>COUNTIF(Table3['# Services 
provided], F247)</f>
        <v>14</v>
      </c>
      <c r="H247" s="26">
        <f>SUMIF(Table3['# Services 
provided], F247,Table3[Return on Investment
(Total Income - Price bought / Price bought)])/G247</f>
        <v>0.30212034630091206</v>
      </c>
    </row>
    <row r="248" spans="6:8" x14ac:dyDescent="0.3">
      <c r="F248" s="1">
        <v>8</v>
      </c>
      <c r="G248" s="1">
        <f>COUNTIF(Table3['# Services 
provided], F248)</f>
        <v>12</v>
      </c>
      <c r="H248" s="26">
        <f>SUMIF(Table3['# Services 
provided], F248,Table3[Return on Investment
(Total Income - Price bought / Price bought)])/G248</f>
        <v>0.62495412180220555</v>
      </c>
    </row>
    <row r="249" spans="6:8" x14ac:dyDescent="0.3">
      <c r="F249" s="1">
        <v>9</v>
      </c>
      <c r="G249" s="1">
        <f>COUNTIF(Table3['# Services 
provided], F249)</f>
        <v>3</v>
      </c>
      <c r="H249" s="26">
        <f>SUMIF(Table3['# Services 
provided], F249,Table3[Return on Investment
(Total Income - Price bought / Price bought)])/G249</f>
        <v>6.171174833834649</v>
      </c>
    </row>
    <row r="250" spans="6:8" x14ac:dyDescent="0.3">
      <c r="F250" s="1">
        <v>10</v>
      </c>
      <c r="G250" s="1">
        <f>COUNTIF(Table3['# Services 
provided], F250)</f>
        <v>4</v>
      </c>
      <c r="H250" s="26">
        <f>SUMIF(Table3['# Services 
provided], F250,Table3[Return on Investment
(Total Income - Price bought / Price bought)])/G250</f>
        <v>-1.6420743502840911</v>
      </c>
    </row>
    <row r="251" spans="6:8" x14ac:dyDescent="0.3">
      <c r="F251" s="1">
        <v>11</v>
      </c>
      <c r="G251" s="1">
        <f>COUNTIF(Table3['# Services 
provided], F251)</f>
        <v>1</v>
      </c>
      <c r="H251" s="26">
        <f>SUMIF(Table3['# Services 
provided], F251,Table3[Return on Investment
(Total Income - Price bought / Price bought)])/G251</f>
        <v>-1.3824006517647061</v>
      </c>
    </row>
    <row r="252" spans="6:8" x14ac:dyDescent="0.3">
      <c r="F252" s="25">
        <v>12</v>
      </c>
      <c r="G252" s="25">
        <f>COUNTIF(Table3['# Services 
provided], F252)</f>
        <v>1</v>
      </c>
      <c r="H252" s="27">
        <f>SUMIF(Table3['# Services 
provided], F252,Table3[Return on Investment
(Total Income - Price bought / Price bought)])/G252</f>
        <v>0.30592049090909118</v>
      </c>
    </row>
  </sheetData>
  <mergeCells count="3">
    <mergeCell ref="N1:W1"/>
    <mergeCell ref="G1:M1"/>
    <mergeCell ref="X1:AI1"/>
  </mergeCells>
  <conditionalFormatting sqref="N3:N23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2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0 3 N R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N N z U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c 1 F a j V x s t 7 c B A A A E B Q A A E w A c A E Z v c m 1 1 b G F z L 1 N l Y 3 R p b 2 4 x L m 0 g o h g A K K A U A A A A A A A A A A A A A A A A A A A A A A A A A A A A r V R N a 9 t A E L 0 b / B + G z c U C 4 5 J Q e m l c i N 0 Y Q k g b I o c c j A 9 r a W w t k W b E f p A Y 4 / / e X X 8 k x l o b C t F l 0 X u z b 9 4 b N D K Y W c U E 6 f a 8 / N l u t V u m k B p z G M t Z i Z f Q h x J t u w X + S d n p D D 1 y + 5 5 h 2 R s 6 r Z H s C + v X G f N r J 1 l N / s g K + 2 J 7 U 0 z X k y G T 9 S X T 7 l b g Q o x U a T G o P / G b E V 5 q U 9 t L s f Q O A t b Z N u k C y q y A z s Q u a x y w W x R 2 C t e / Q P Q E S M q h g Q 8 0 c 1 5 5 4 y J J 2 i 1 F 8 Y a H + S 5 2 P q F z l Y g v j j k s J C 3 C D L 3 L z 5 R j L c n M W V d D L l 1 F g f z I u 1 o J l Y s u 3 J H 9 8 b 0 X q H U X V o J 8 J 4 + G t G D x 3 W 7 A X F Y x 7 C 5 y v 3 b a 4 A v T v p 5 c N U O 9 o T 4 n 2 B A L b y m X e Y O Y K W 2 L P S p p u W t t j 4 Q O m U O d P U 5 o H 7 X K s O k 3 H Q 0 0 Y o 4 6 R j U x 4 8 U H y y h j X T 5 C f E 5 / R 6 L z G z 1 q n i t 7 j n t Q 5 I y X M L H Z q Q r v s Y 7 e n 8 / N 3 5 j G k c F Q l 5 4 1 6 Q v G p / v s A t 5 K T d g Y s G U r y 5 M R N + w Z 6 Q e p w v c s y W 9 B x i Z W c p N l 7 M g q W k A d a 7 N O / m P l j / Y l u v v 9 w x U H 1 n C S h W / w J L P g z A / A 1 L 7 J + V / C P 1 B L A Q I t A B Q A A g A I A N N z U V p D H n C b p Q A A A P c A A A A S A A A A A A A A A A A A A A A A A A A A A A B D b 2 5 m a W c v U G F j a 2 F n Z S 5 4 b W x Q S w E C L Q A U A A I A C A D T c 1 F a D 8 r p q 6 Q A A A D p A A A A E w A A A A A A A A A A A A A A A A D x A A A A W 0 N v b n R l b n R f V H l w Z X N d L n h t b F B L A Q I t A B Q A A g A I A N N z U V q N X G y 3 t w E A A A Q F A A A T A A A A A A A A A A A A A A A A A O I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q A A A A A A A A G y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1 Q y M T o x N z o x O C 4 0 N T k w O D g 2 W i I g L z 4 8 R W 5 0 c n k g V H l w Z T 0 i R m l s b E N v b H V t b l R 5 c G V z I i B W Y W x 1 Z T 0 i c 0 F B Q U F B Q U F B Q U F B Q U F B Q U F B Q U F B Q U F B Q U F B Q U F B Q U F B Q U F B P S I g L z 4 8 R W 5 0 c n k g V H l w Z T 0 i R m l s b E N v b H V t b k 5 h b W V z I i B W Y W x 1 Z T 0 i c 1 s m c X V v d D t p Z C Z x d W 9 0 O y w m c X V v d D t u Y W 1 l J n F 1 b 3 Q 7 L C Z x d W 9 0 O 2 R h b S Z x d W 9 0 O y w m c X V v d D t k Y W 1 J Z C Z x d W 9 0 O y w m c X V v d D t w d X J z Z V d v b i Z x d W 9 0 O y w m c X V v d D t 0 e X B l Q m 9 1 Z 2 h 0 J n F 1 b 3 Q 7 L C Z x d W 9 0 O 3 R 5 c G V T b 2 x k J n F 1 b 3 Q 7 L C Z x d W 9 0 O 2 J p c n R o J n F 1 b 3 Q 7 L C Z x d W 9 0 O 2 R h d G V C b 3 V n a H Q m c X V v d D s s J n F 1 b 3 Q 7 Z G F 0 Z V N v b G Q m c X V v d D s s J n F 1 b 3 Q 7 b m V 0 U H J p Y 2 U m c X V v d D s s J n F 1 b 3 Q 7 U 0 Z C c m V l Z G V y J n F 1 b 3 Q 7 L C Z x d W 9 0 O 1 N G J n F 1 b 3 Q 7 L C Z x d W 9 0 O 3 N v b G R C e V N G J n F 1 b 3 Q 7 L C Z x d W 9 0 O 3 N 0 d W R G Z W V V U 0 Q m c X V v d D s s J n F 1 b 3 Q 7 b 3 d u U H J v Z m l 0 J n F 1 b 3 Q 7 L C Z x d W 9 0 O 2 9 3 b l B y b 2 Z p d E 1 p b n V z R m V l c y Z x d W 9 0 O y w m c X V v d D t 0 a W 1 l S 2 V w d C Z x d W 9 0 O y w m c X V v d D t v Z m Z z T 3 d u U H J v Z m l 0 T W l u d X N G Z W V z J n F 1 b 3 Q 7 L C Z x d W 9 0 O 2 9 m Z n N T d H V k R m V l V V N E J n F 1 b 3 Q 7 L C Z x d W 9 0 O 2 9 m Z n N U a W 1 l S 2 V w d C Z x d W 9 0 O y w m c X V v d D t z d H V k R m V l R W F y b m V k J n F 1 b 3 Q 7 L C Z x d W 9 0 O 3 R v d G F s U H J v Z m l 0 J n F 1 b 3 Q 7 L C Z x d W 9 0 O 3 R v d G F s V G l t Z U t l c H Q m c X V v d D s s J n F 1 b 3 Q 7 T W F p b n R l b m F u Y 2 U g Y 2 9 z d C Z x d W 9 0 O y w m c X V v d D t B Y 2 N v d W 5 0 a W 5 n I H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U 2 9 1 c m N l L n t p Z C w w f S Z x d W 9 0 O y w m c X V v d D t T Z W N 0 a W 9 u M S 9 U Y W J s Z T E v U 2 9 1 c m N l L n t u Y W 1 l L D F 9 J n F 1 b 3 Q 7 L C Z x d W 9 0 O 1 N l Y 3 R p b 2 4 x L 1 R h Y m x l M S 9 T b 3 V y Y 2 U u e 2 R h b S w y f S Z x d W 9 0 O y w m c X V v d D t T Z W N 0 a W 9 u M S 9 U Y W J s Z T E v U 2 9 1 c m N l L n t k Y W 1 J Z C w z f S Z x d W 9 0 O y w m c X V v d D t T Z W N 0 a W 9 u M S 9 U Y W J s Z T E v U 2 9 1 c m N l L n t w d X J z Z V d v b i w 0 f S Z x d W 9 0 O y w m c X V v d D t T Z W N 0 a W 9 u M S 9 U Y W J s Z T E v U 2 9 1 c m N l L n t 0 e X B l Q m 9 1 Z 2 h 0 L D V 9 J n F 1 b 3 Q 7 L C Z x d W 9 0 O 1 N l Y 3 R p b 2 4 x L 1 R h Y m x l M S 9 T b 3 V y Y 2 U u e 3 R 5 c G V T b 2 x k L D Z 9 J n F 1 b 3 Q 7 L C Z x d W 9 0 O 1 N l Y 3 R p b 2 4 x L 1 R h Y m x l M S 9 T b 3 V y Y 2 U u e 2 J p c n R o L D d 9 J n F 1 b 3 Q 7 L C Z x d W 9 0 O 1 N l Y 3 R p b 2 4 x L 1 R h Y m x l M S 9 T b 3 V y Y 2 U u e 2 R h d G V C b 3 V n a H Q s O H 0 m c X V v d D s s J n F 1 b 3 Q 7 U 2 V j d G l v b j E v V G F i b G U x L 1 N v d X J j Z S 5 7 Z G F 0 Z V N v b G Q s O X 0 m c X V v d D s s J n F 1 b 3 Q 7 U 2 V j d G l v b j E v V G F i b G U x L 1 N v d X J j Z S 5 7 b m V 0 U H J p Y 2 U s M T B 9 J n F 1 b 3 Q 7 L C Z x d W 9 0 O 1 N l Y 3 R p b 2 4 x L 1 R h Y m x l M S 9 T b 3 V y Y 2 U u e 1 N G Q n J l Z W R l c i w x M X 0 m c X V v d D s s J n F 1 b 3 Q 7 U 2 V j d G l v b j E v V G F i b G U x L 1 N v d X J j Z S 5 7 U 0 Y s M T J 9 J n F 1 b 3 Q 7 L C Z x d W 9 0 O 1 N l Y 3 R p b 2 4 x L 1 R h Y m x l M S 9 T b 3 V y Y 2 U u e 3 N v b G R C e V N G L D E z f S Z x d W 9 0 O y w m c X V v d D t T Z W N 0 a W 9 u M S 9 U Y W J s Z T E v U 2 9 1 c m N l L n t z d H V k R m V l V V N E L D E 0 f S Z x d W 9 0 O y w m c X V v d D t T Z W N 0 a W 9 u M S 9 U Y W J s Z T E v U 2 9 1 c m N l L n t v d 2 5 Q c m 9 m a X Q s M T V 9 J n F 1 b 3 Q 7 L C Z x d W 9 0 O 1 N l Y 3 R p b 2 4 x L 1 R h Y m x l M S 9 T b 3 V y Y 2 U u e 2 9 3 b l B y b 2 Z p d E 1 p b n V z R m V l c y w x N n 0 m c X V v d D s s J n F 1 b 3 Q 7 U 2 V j d G l v b j E v V G F i b G U x L 1 N v d X J j Z S 5 7 d G l t Z U t l c H Q s M T d 9 J n F 1 b 3 Q 7 L C Z x d W 9 0 O 1 N l Y 3 R p b 2 4 x L 1 R h Y m x l M S 9 T b 3 V y Y 2 U u e 2 9 m Z n N P d 2 5 Q c m 9 m a X R N a W 5 1 c 0 Z l Z X M s M T h 9 J n F 1 b 3 Q 7 L C Z x d W 9 0 O 1 N l Y 3 R p b 2 4 x L 1 R h Y m x l M S 9 T b 3 V y Y 2 U u e 2 9 m Z n N T d H V k R m V l V V N E L D E 5 f S Z x d W 9 0 O y w m c X V v d D t T Z W N 0 a W 9 u M S 9 U Y W J s Z T E v U 2 9 1 c m N l L n t v Z m Z z V G l t Z U t l c H Q s M j B 9 J n F 1 b 3 Q 7 L C Z x d W 9 0 O 1 N l Y 3 R p b 2 4 x L 1 R h Y m x l M S 9 T b 3 V y Y 2 U u e 3 N 0 d W R G Z W V F Y X J u Z W Q s M j F 9 J n F 1 b 3 Q 7 L C Z x d W 9 0 O 1 N l Y 3 R p b 2 4 x L 1 R h Y m x l M S 9 T b 3 V y Y 2 U u e 3 R v d G F s U H J v Z m l 0 L D I y f S Z x d W 9 0 O y w m c X V v d D t T Z W N 0 a W 9 u M S 9 U Y W J s Z T E v U 2 9 1 c m N l L n t 0 b 3 R h b F R p b W V L Z X B 0 L D I z f S Z x d W 9 0 O y w m c X V v d D t T Z W N 0 a W 9 u M S 9 U Y W J s Z T E v U 2 9 1 c m N l L n t N Y W l u d G V u Y W 5 j Z S B j b 3 N 0 L D I 0 f S Z x d W 9 0 O y w m c X V v d D t T Z W N 0 a W 9 u M S 9 U Y W J s Z T E v U 2 9 1 c m N l L n t B Y 2 N v d W 5 0 a W 5 n I H B y b 2 Z p d C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h Y m x l M S 9 T b 3 V y Y 2 U u e 2 l k L D B 9 J n F 1 b 3 Q 7 L C Z x d W 9 0 O 1 N l Y 3 R p b 2 4 x L 1 R h Y m x l M S 9 T b 3 V y Y 2 U u e 2 5 h b W U s M X 0 m c X V v d D s s J n F 1 b 3 Q 7 U 2 V j d G l v b j E v V G F i b G U x L 1 N v d X J j Z S 5 7 Z G F t L D J 9 J n F 1 b 3 Q 7 L C Z x d W 9 0 O 1 N l Y 3 R p b 2 4 x L 1 R h Y m x l M S 9 T b 3 V y Y 2 U u e 2 R h b U l k L D N 9 J n F 1 b 3 Q 7 L C Z x d W 9 0 O 1 N l Y 3 R p b 2 4 x L 1 R h Y m x l M S 9 T b 3 V y Y 2 U u e 3 B 1 c n N l V 2 9 u L D R 9 J n F 1 b 3 Q 7 L C Z x d W 9 0 O 1 N l Y 3 R p b 2 4 x L 1 R h Y m x l M S 9 T b 3 V y Y 2 U u e 3 R 5 c G V C b 3 V n a H Q s N X 0 m c X V v d D s s J n F 1 b 3 Q 7 U 2 V j d G l v b j E v V G F i b G U x L 1 N v d X J j Z S 5 7 d H l w Z V N v b G Q s N n 0 m c X V v d D s s J n F 1 b 3 Q 7 U 2 V j d G l v b j E v V G F i b G U x L 1 N v d X J j Z S 5 7 Y m l y d G g s N 3 0 m c X V v d D s s J n F 1 b 3 Q 7 U 2 V j d G l v b j E v V G F i b G U x L 1 N v d X J j Z S 5 7 Z G F 0 Z U J v d W d o d C w 4 f S Z x d W 9 0 O y w m c X V v d D t T Z W N 0 a W 9 u M S 9 U Y W J s Z T E v U 2 9 1 c m N l L n t k Y X R l U 2 9 s Z C w 5 f S Z x d W 9 0 O y w m c X V v d D t T Z W N 0 a W 9 u M S 9 U Y W J s Z T E v U 2 9 1 c m N l L n t u Z X R Q c m l j Z S w x M H 0 m c X V v d D s s J n F 1 b 3 Q 7 U 2 V j d G l v b j E v V G F i b G U x L 1 N v d X J j Z S 5 7 U 0 Z C c m V l Z G V y L D E x f S Z x d W 9 0 O y w m c X V v d D t T Z W N 0 a W 9 u M S 9 U Y W J s Z T E v U 2 9 1 c m N l L n t T R i w x M n 0 m c X V v d D s s J n F 1 b 3 Q 7 U 2 V j d G l v b j E v V G F i b G U x L 1 N v d X J j Z S 5 7 c 2 9 s Z E J 5 U 0 Y s M T N 9 J n F 1 b 3 Q 7 L C Z x d W 9 0 O 1 N l Y 3 R p b 2 4 x L 1 R h Y m x l M S 9 T b 3 V y Y 2 U u e 3 N 0 d W R G Z W V V U 0 Q s M T R 9 J n F 1 b 3 Q 7 L C Z x d W 9 0 O 1 N l Y 3 R p b 2 4 x L 1 R h Y m x l M S 9 T b 3 V y Y 2 U u e 2 9 3 b l B y b 2 Z p d C w x N X 0 m c X V v d D s s J n F 1 b 3 Q 7 U 2 V j d G l v b j E v V G F i b G U x L 1 N v d X J j Z S 5 7 b 3 d u U H J v Z m l 0 T W l u d X N G Z W V z L D E 2 f S Z x d W 9 0 O y w m c X V v d D t T Z W N 0 a W 9 u M S 9 U Y W J s Z T E v U 2 9 1 c m N l L n t 0 a W 1 l S 2 V w d C w x N 3 0 m c X V v d D s s J n F 1 b 3 Q 7 U 2 V j d G l v b j E v V G F i b G U x L 1 N v d X J j Z S 5 7 b 2 Z m c 0 9 3 b l B y b 2 Z p d E 1 p b n V z R m V l c y w x O H 0 m c X V v d D s s J n F 1 b 3 Q 7 U 2 V j d G l v b j E v V G F i b G U x L 1 N v d X J j Z S 5 7 b 2 Z m c 1 N 0 d W R G Z W V V U 0 Q s M T l 9 J n F 1 b 3 Q 7 L C Z x d W 9 0 O 1 N l Y 3 R p b 2 4 x L 1 R h Y m x l M S 9 T b 3 V y Y 2 U u e 2 9 m Z n N U a W 1 l S 2 V w d C w y M H 0 m c X V v d D s s J n F 1 b 3 Q 7 U 2 V j d G l v b j E v V G F i b G U x L 1 N v d X J j Z S 5 7 c 3 R 1 Z E Z l Z U V h c m 5 l Z C w y M X 0 m c X V v d D s s J n F 1 b 3 Q 7 U 2 V j d G l v b j E v V G F i b G U x L 1 N v d X J j Z S 5 7 d G 9 0 Y W x Q c m 9 m a X Q s M j J 9 J n F 1 b 3 Q 7 L C Z x d W 9 0 O 1 N l Y 3 R p b 2 4 x L 1 R h Y m x l M S 9 T b 3 V y Y 2 U u e 3 R v d G F s V G l t Z U t l c H Q s M j N 9 J n F 1 b 3 Q 7 L C Z x d W 9 0 O 1 N l Y 3 R p b 2 4 x L 1 R h Y m x l M S 9 T b 3 V y Y 2 U u e 0 1 h a W 5 0 Z W 5 h b m N l I G N v c 3 Q s M j R 9 J n F 1 b 3 Q 7 L C Z x d W 9 0 O 1 N l Y 3 R p b 2 4 x L 1 R h Y m x l M S 9 T b 3 V y Y 2 U u e 0 F j Y 2 9 1 b n R p b m c g c H J v Z m l 0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1 Q x N j o 1 O T o x M i 4 w O T c 3 N T Y 2 W i I g L z 4 8 R W 5 0 c n k g V H l w Z T 0 i R m l s b E N v b H V t b l R 5 c G V z I i B W Y W x 1 Z T 0 i c 0 F 3 W U d B d 1 V H Q m d B Q U F B T U R B d 0 1 G Q l F V R k F 3 V U Z B Q V V G Q l F V P S I g L z 4 8 R W 5 0 c n k g V H l w Z T 0 i R m l s b E N v b H V t b k 5 h b W V z I i B W Y W x 1 Z T 0 i c 1 s m c X V v d D t p Z C Z x d W 9 0 O y w m c X V v d D t u Y W 1 l J n F 1 b 3 Q 7 L C Z x d W 9 0 O 2 R h b S Z x d W 9 0 O y w m c X V v d D t k Y W 1 J Z C Z x d W 9 0 O y w m c X V v d D t w d X J z Z V d v b i Z x d W 9 0 O y w m c X V v d D t 0 e X B l Q m 9 1 Z 2 h 0 J n F 1 b 3 Q 7 L C Z x d W 9 0 O 3 R 5 c G V T b 2 x k J n F 1 b 3 Q 7 L C Z x d W 9 0 O 2 J p c n R o J n F 1 b 3 Q 7 L C Z x d W 9 0 O 2 R h d G V C b 3 V n a H Q m c X V v d D s s J n F 1 b 3 Q 7 Z G F 0 Z V N v b G Q m c X V v d D s s J n F 1 b 3 Q 7 b m V 0 U H J p Y 2 U m c X V v d D s s J n F 1 b 3 Q 7 U 0 Z C c m V l Z G V y J n F 1 b 3 Q 7 L C Z x d W 9 0 O 1 N G J n F 1 b 3 Q 7 L C Z x d W 9 0 O 3 N v b G R C e V N G J n F 1 b 3 Q 7 L C Z x d W 9 0 O 3 N 0 d W R G Z W V V U 0 Q m c X V v d D s s J n F 1 b 3 Q 7 b 3 d u U H J v Z m l 0 J n F 1 b 3 Q 7 L C Z x d W 9 0 O 2 9 3 b l B y b 2 Z p d E 1 p b n V z R m V l c y Z x d W 9 0 O y w m c X V v d D t 0 a W 1 l S 2 V w d C Z x d W 9 0 O y w m c X V v d D t v Z m Z z T 3 d u U H J v Z m l 0 T W l u d X N G Z W V z J n F 1 b 3 Q 7 L C Z x d W 9 0 O 2 9 m Z n N T d H V k R m V l V V N E J n F 1 b 3 Q 7 L C Z x d W 9 0 O 2 9 m Z n N U a W 1 l S 2 V w d C Z x d W 9 0 O y w m c X V v d D t z d H V k R m V l R W F y b m V k J n F 1 b 3 Q 7 L C Z x d W 9 0 O 3 R v d G F s U H J v Z m l 0 J n F 1 b 3 Q 7 L C Z x d W 9 0 O 3 R v d G F s V G l t Z U t l c H Q m c X V v d D s s J n F 1 b 3 Q 7 T W F p b n R l b m F u Y 2 U g Y 2 9 z d C Z x d W 9 0 O y w m c X V v d D t B Y 2 N v d W 5 0 a W 5 n I H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I p L 0 N o Y W 5 n Z W Q g V H l w Z S 5 7 a W Q s M H 0 m c X V v d D s s J n F 1 b 3 Q 7 U 2 V j d G l v b j E v V G F i b G U x I C g y K S 9 D a G F u Z 2 V k I F R 5 c G U u e 2 5 h b W U s M X 0 m c X V v d D s s J n F 1 b 3 Q 7 U 2 V j d G l v b j E v V G F i b G U x I C g y K S 9 D a G F u Z 2 V k I F R 5 c G U u e 2 R h b S w y f S Z x d W 9 0 O y w m c X V v d D t T Z W N 0 a W 9 u M S 9 U Y W J s Z T E g K D I p L 0 N o Y W 5 n Z W Q g V H l w Z S 5 7 Z G F t S W Q s M 3 0 m c X V v d D s s J n F 1 b 3 Q 7 U 2 V j d G l v b j E v V G F i b G U x I C g y K S 9 D a G F u Z 2 V k I F R 5 c G U u e 3 B 1 c n N l V 2 9 u L D R 9 J n F 1 b 3 Q 7 L C Z x d W 9 0 O 1 N l Y 3 R p b 2 4 x L 1 R h Y m x l M S A o M i k v Q 2 h h b m d l Z C B U e X B l L n t 0 e X B l Q m 9 1 Z 2 h 0 L D V 9 J n F 1 b 3 Q 7 L C Z x d W 9 0 O 1 N l Y 3 R p b 2 4 x L 1 R h Y m x l M S A o M i k v Q 2 h h b m d l Z C B U e X B l L n t 0 e X B l U 2 9 s Z C w 2 f S Z x d W 9 0 O y w m c X V v d D t T Z W N 0 a W 9 u M S 9 U Y W J s Z T E g K D I p L 0 N o Y W 5 n Z W Q g V H l w Z S 5 7 Y m l y d G g s N 3 0 m c X V v d D s s J n F 1 b 3 Q 7 U 2 V j d G l v b j E v V G F i b G U x I C g y K S 9 D a G F u Z 2 V k I F R 5 c G U u e 2 R h d G V C b 3 V n a H Q s O H 0 m c X V v d D s s J n F 1 b 3 Q 7 U 2 V j d G l v b j E v V G F i b G U x I C g y K S 9 D a G F u Z 2 V k I F R 5 c G U u e 2 R h d G V T b 2 x k L D l 9 J n F 1 b 3 Q 7 L C Z x d W 9 0 O 1 N l Y 3 R p b 2 4 x L 1 R h Y m x l M S A o M i k v Q 2 h h b m d l Z C B U e X B l L n t u Z X R Q c m l j Z S w x M H 0 m c X V v d D s s J n F 1 b 3 Q 7 U 2 V j d G l v b j E v V G F i b G U x I C g y K S 9 D a G F u Z 2 V k I F R 5 c G U u e 1 N G Q n J l Z W R l c i w x M X 0 m c X V v d D s s J n F 1 b 3 Q 7 U 2 V j d G l v b j E v V G F i b G U x I C g y K S 9 D a G F u Z 2 V k I F R 5 c G U u e 1 N G L D E y f S Z x d W 9 0 O y w m c X V v d D t T Z W N 0 a W 9 u M S 9 U Y W J s Z T E g K D I p L 0 N o Y W 5 n Z W Q g V H l w Z S 5 7 c 2 9 s Z E J 5 U 0 Y s M T N 9 J n F 1 b 3 Q 7 L C Z x d W 9 0 O 1 N l Y 3 R p b 2 4 x L 1 R h Y m x l M S A o M i k v Q 2 h h b m d l Z C B U e X B l L n t z d H V k R m V l V V N E L D E 0 f S Z x d W 9 0 O y w m c X V v d D t T Z W N 0 a W 9 u M S 9 U Y W J s Z T E g K D I p L 0 N o Y W 5 n Z W Q g V H l w Z S 5 7 b 3 d u U H J v Z m l 0 L D E 1 f S Z x d W 9 0 O y w m c X V v d D t T Z W N 0 a W 9 u M S 9 U Y W J s Z T E g K D I p L 0 N o Y W 5 n Z W Q g V H l w Z S 5 7 b 3 d u U H J v Z m l 0 T W l u d X N G Z W V z L D E 2 f S Z x d W 9 0 O y w m c X V v d D t T Z W N 0 a W 9 u M S 9 U Y W J s Z T E g K D I p L 0 N o Y W 5 n Z W Q g V H l w Z S 5 7 d G l t Z U t l c H Q s M T d 9 J n F 1 b 3 Q 7 L C Z x d W 9 0 O 1 N l Y 3 R p b 2 4 x L 1 R h Y m x l M S A o M i k v Q 2 h h b m d l Z C B U e X B l L n t v Z m Z z T 3 d u U H J v Z m l 0 T W l u d X N G Z W V z L D E 4 f S Z x d W 9 0 O y w m c X V v d D t T Z W N 0 a W 9 u M S 9 U Y W J s Z T E g K D I p L 0 N o Y W 5 n Z W Q g V H l w Z S 5 7 b 2 Z m c 1 N 0 d W R G Z W V V U 0 Q s M T l 9 J n F 1 b 3 Q 7 L C Z x d W 9 0 O 1 N l Y 3 R p b 2 4 x L 1 R h Y m x l M S A o M i k v Q 2 h h b m d l Z C B U e X B l L n t v Z m Z z V G l t Z U t l c H Q s M j B 9 J n F 1 b 3 Q 7 L C Z x d W 9 0 O 1 N l Y 3 R p b 2 4 x L 1 R h Y m x l M S A o M i k v Q 2 h h b m d l Z C B U e X B l L n t z d H V k R m V l R W F y b m V k L D I x f S Z x d W 9 0 O y w m c X V v d D t T Z W N 0 a W 9 u M S 9 U Y W J s Z T E g K D I p L 0 N o Y W 5 n Z W Q g V H l w Z S 5 7 d G 9 0 Y W x Q c m 9 m a X Q s M j J 9 J n F 1 b 3 Q 7 L C Z x d W 9 0 O 1 N l Y 3 R p b 2 4 x L 1 R h Y m x l M S A o M i k v Q 2 h h b m d l Z C B U e X B l L n t 0 b 3 R h b F R p b W V L Z X B 0 L D I z f S Z x d W 9 0 O y w m c X V v d D t T Z W N 0 a W 9 u M S 9 U Y W J s Z T E g K D I p L 0 N o Y W 5 n Z W Q g V H l w Z S 5 7 T W F p b n R l b m F u Y 2 U g Y 2 9 z d C w y N H 0 m c X V v d D s s J n F 1 b 3 Q 7 U 2 V j d G l v b j E v V G F i b G U x I C g y K S 9 D a G F u Z 2 V k I F R 5 c G U u e 0 F j Y 2 9 1 b n R p b m c g c H J v Z m l 0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G F i b G U x I C g y K S 9 D a G F u Z 2 V k I F R 5 c G U u e 2 l k L D B 9 J n F 1 b 3 Q 7 L C Z x d W 9 0 O 1 N l Y 3 R p b 2 4 x L 1 R h Y m x l M S A o M i k v Q 2 h h b m d l Z C B U e X B l L n t u Y W 1 l L D F 9 J n F 1 b 3 Q 7 L C Z x d W 9 0 O 1 N l Y 3 R p b 2 4 x L 1 R h Y m x l M S A o M i k v Q 2 h h b m d l Z C B U e X B l L n t k Y W 0 s M n 0 m c X V v d D s s J n F 1 b 3 Q 7 U 2 V j d G l v b j E v V G F i b G U x I C g y K S 9 D a G F u Z 2 V k I F R 5 c G U u e 2 R h b U l k L D N 9 J n F 1 b 3 Q 7 L C Z x d W 9 0 O 1 N l Y 3 R p b 2 4 x L 1 R h Y m x l M S A o M i k v Q 2 h h b m d l Z C B U e X B l L n t w d X J z Z V d v b i w 0 f S Z x d W 9 0 O y w m c X V v d D t T Z W N 0 a W 9 u M S 9 U Y W J s Z T E g K D I p L 0 N o Y W 5 n Z W Q g V H l w Z S 5 7 d H l w Z U J v d W d o d C w 1 f S Z x d W 9 0 O y w m c X V v d D t T Z W N 0 a W 9 u M S 9 U Y W J s Z T E g K D I p L 0 N o Y W 5 n Z W Q g V H l w Z S 5 7 d H l w Z V N v b G Q s N n 0 m c X V v d D s s J n F 1 b 3 Q 7 U 2 V j d G l v b j E v V G F i b G U x I C g y K S 9 D a G F u Z 2 V k I F R 5 c G U u e 2 J p c n R o L D d 9 J n F 1 b 3 Q 7 L C Z x d W 9 0 O 1 N l Y 3 R p b 2 4 x L 1 R h Y m x l M S A o M i k v Q 2 h h b m d l Z C B U e X B l L n t k Y X R l Q m 9 1 Z 2 h 0 L D h 9 J n F 1 b 3 Q 7 L C Z x d W 9 0 O 1 N l Y 3 R p b 2 4 x L 1 R h Y m x l M S A o M i k v Q 2 h h b m d l Z C B U e X B l L n t k Y X R l U 2 9 s Z C w 5 f S Z x d W 9 0 O y w m c X V v d D t T Z W N 0 a W 9 u M S 9 U Y W J s Z T E g K D I p L 0 N o Y W 5 n Z W Q g V H l w Z S 5 7 b m V 0 U H J p Y 2 U s M T B 9 J n F 1 b 3 Q 7 L C Z x d W 9 0 O 1 N l Y 3 R p b 2 4 x L 1 R h Y m x l M S A o M i k v Q 2 h h b m d l Z C B U e X B l L n t T R k J y Z W V k Z X I s M T F 9 J n F 1 b 3 Q 7 L C Z x d W 9 0 O 1 N l Y 3 R p b 2 4 x L 1 R h Y m x l M S A o M i k v Q 2 h h b m d l Z C B U e X B l L n t T R i w x M n 0 m c X V v d D s s J n F 1 b 3 Q 7 U 2 V j d G l v b j E v V G F i b G U x I C g y K S 9 D a G F u Z 2 V k I F R 5 c G U u e 3 N v b G R C e V N G L D E z f S Z x d W 9 0 O y w m c X V v d D t T Z W N 0 a W 9 u M S 9 U Y W J s Z T E g K D I p L 0 N o Y W 5 n Z W Q g V H l w Z S 5 7 c 3 R 1 Z E Z l Z V V T R C w x N H 0 m c X V v d D s s J n F 1 b 3 Q 7 U 2 V j d G l v b j E v V G F i b G U x I C g y K S 9 D a G F u Z 2 V k I F R 5 c G U u e 2 9 3 b l B y b 2 Z p d C w x N X 0 m c X V v d D s s J n F 1 b 3 Q 7 U 2 V j d G l v b j E v V G F i b G U x I C g y K S 9 D a G F u Z 2 V k I F R 5 c G U u e 2 9 3 b l B y b 2 Z p d E 1 p b n V z R m V l c y w x N n 0 m c X V v d D s s J n F 1 b 3 Q 7 U 2 V j d G l v b j E v V G F i b G U x I C g y K S 9 D a G F u Z 2 V k I F R 5 c G U u e 3 R p b W V L Z X B 0 L D E 3 f S Z x d W 9 0 O y w m c X V v d D t T Z W N 0 a W 9 u M S 9 U Y W J s Z T E g K D I p L 0 N o Y W 5 n Z W Q g V H l w Z S 5 7 b 2 Z m c 0 9 3 b l B y b 2 Z p d E 1 p b n V z R m V l c y w x O H 0 m c X V v d D s s J n F 1 b 3 Q 7 U 2 V j d G l v b j E v V G F i b G U x I C g y K S 9 D a G F u Z 2 V k I F R 5 c G U u e 2 9 m Z n N T d H V k R m V l V V N E L D E 5 f S Z x d W 9 0 O y w m c X V v d D t T Z W N 0 a W 9 u M S 9 U Y W J s Z T E g K D I p L 0 N o Y W 5 n Z W Q g V H l w Z S 5 7 b 2 Z m c 1 R p b W V L Z X B 0 L D I w f S Z x d W 9 0 O y w m c X V v d D t T Z W N 0 a W 9 u M S 9 U Y W J s Z T E g K D I p L 0 N o Y W 5 n Z W Q g V H l w Z S 5 7 c 3 R 1 Z E Z l Z U V h c m 5 l Z C w y M X 0 m c X V v d D s s J n F 1 b 3 Q 7 U 2 V j d G l v b j E v V G F i b G U x I C g y K S 9 D a G F u Z 2 V k I F R 5 c G U u e 3 R v d G F s U H J v Z m l 0 L D I y f S Z x d W 9 0 O y w m c X V v d D t T Z W N 0 a W 9 u M S 9 U Y W J s Z T E g K D I p L 0 N o Y W 5 n Z W Q g V H l w Z S 5 7 d G 9 0 Y W x U a W 1 l S 2 V w d C w y M 3 0 m c X V v d D s s J n F 1 b 3 Q 7 U 2 V j d G l v b j E v V G F i b G U x I C g y K S 9 D a G F u Z 2 V k I F R 5 c G U u e 0 1 h a W 5 0 Z W 5 h b m N l I G N v c 3 Q s M j R 9 J n F 1 b 3 Q 7 L C Z x d W 9 0 O 1 N l Y 3 R p b 2 4 x L 1 R h Y m x l M S A o M i k v Q 2 h h b m d l Z C B U e X B l L n t B Y 2 N v d W 5 0 a W 5 n I H B y b 2 Z p d C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8 Q o B 4 6 0 7 d I k n H F 0 E p D G 3 k A A A A A A g A A A A A A E G Y A A A A B A A A g A A A A Z 0 R Y r W v l 6 r N p F k a 5 z b S v 0 k X 2 / v t A B w I d 4 b z t r L h Y V x A A A A A A D o A A A A A C A A A g A A A A I J d k K V 3 U d U x N Q q D w E E 2 j x s C + Y B U 4 G 7 n z + X X p n Q V 8 F Y R Q A A A A 2 D B I e Z n d f c H 9 T O b A l V S m 7 5 9 U 7 g X l b w / I V t 7 n m y x w k P V b e x t j p p q H h A m h n 6 + 6 I m I 4 g s S P M s 6 l f z a Z 6 r Z x o B u c 1 y c P k q F N S k y C c p E / s J 1 j p 2 9 A A A A A e a 1 e U j V P D l x r O U 1 j Y t T x z x v v n c 2 O 6 S e e y 9 u 0 G m 3 F z L x F 2 L l C U m A f b / l P i 1 a / U G / F n 3 w e f p p A v A 6 K s W d R + P Z F p w = = < / D a t a M a s h u p > 
</file>

<file path=customXml/itemProps1.xml><?xml version="1.0" encoding="utf-8"?>
<ds:datastoreItem xmlns:ds="http://schemas.openxmlformats.org/officeDocument/2006/customXml" ds:itemID="{F270D867-C9B4-4C06-B7AA-0164A849B5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Summary</vt:lpstr>
      <vt:lpstr>Dam-Season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</dc:creator>
  <cp:lastModifiedBy>Matias Gomez Seeber</cp:lastModifiedBy>
  <dcterms:created xsi:type="dcterms:W3CDTF">2015-06-05T18:17:20Z</dcterms:created>
  <dcterms:modified xsi:type="dcterms:W3CDTF">2025-02-17T18:17:43Z</dcterms:modified>
</cp:coreProperties>
</file>