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M109-L3\Estudos\"/>
    </mc:Choice>
  </mc:AlternateContent>
  <xr:revisionPtr revIDLastSave="0" documentId="13_ncr:1_{0CB49DEE-E19F-4281-8E28-774ED221AC55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DadosBrutos" sheetId="1" r:id="rId1"/>
    <sheet name="Listas" sheetId="2" r:id="rId2"/>
    <sheet name="Tabela_Freq_Álcool" sheetId="5" r:id="rId3"/>
    <sheet name="Tabela_Freq_Altura" sheetId="3" r:id="rId4"/>
    <sheet name="Tabela_Freq_Colesterol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6" i="4" l="1"/>
  <c r="P7" i="4"/>
  <c r="P8" i="4"/>
  <c r="P9" i="4"/>
  <c r="P10" i="4"/>
  <c r="P11" i="4"/>
  <c r="P12" i="4"/>
  <c r="P5" i="4"/>
  <c r="O6" i="4"/>
  <c r="O7" i="4"/>
  <c r="O8" i="4"/>
  <c r="O9" i="4"/>
  <c r="O10" i="4"/>
  <c r="O11" i="4"/>
  <c r="O12" i="4"/>
  <c r="O5" i="4"/>
  <c r="M7" i="4"/>
  <c r="M8" i="4"/>
  <c r="M9" i="4"/>
  <c r="M10" i="4" s="1"/>
  <c r="M11" i="4" s="1"/>
  <c r="M12" i="4" s="1"/>
  <c r="M6" i="4"/>
  <c r="M5" i="4"/>
  <c r="L13" i="4"/>
  <c r="L6" i="4"/>
  <c r="L7" i="4"/>
  <c r="L8" i="4"/>
  <c r="L9" i="4"/>
  <c r="L10" i="4"/>
  <c r="L11" i="4"/>
  <c r="L12" i="4"/>
  <c r="L5" i="4"/>
  <c r="K7" i="4"/>
  <c r="K8" i="4" s="1"/>
  <c r="K9" i="4" s="1"/>
  <c r="K10" i="4" s="1"/>
  <c r="K11" i="4" s="1"/>
  <c r="K12" i="4" s="1"/>
  <c r="K6" i="4"/>
  <c r="K5" i="4"/>
  <c r="J13" i="4"/>
  <c r="J12" i="4"/>
  <c r="J11" i="4"/>
  <c r="J10" i="4"/>
  <c r="J9" i="4"/>
  <c r="J8" i="4"/>
  <c r="J7" i="4"/>
  <c r="J6" i="4"/>
  <c r="J5" i="4"/>
  <c r="G7" i="4"/>
  <c r="G8" i="4"/>
  <c r="G9" i="4"/>
  <c r="G10" i="4" s="1"/>
  <c r="G11" i="4" s="1"/>
  <c r="G12" i="4" s="1"/>
  <c r="G6" i="4"/>
  <c r="I7" i="4"/>
  <c r="I8" i="4"/>
  <c r="I9" i="4" s="1"/>
  <c r="I10" i="4" s="1"/>
  <c r="I11" i="4" s="1"/>
  <c r="I12" i="4" s="1"/>
  <c r="I6" i="4"/>
  <c r="D11" i="4"/>
  <c r="D12" i="4"/>
  <c r="D13" i="4"/>
  <c r="D14" i="4"/>
  <c r="D10" i="4"/>
  <c r="C11" i="4"/>
  <c r="C12" i="4"/>
  <c r="C13" i="4"/>
  <c r="C14" i="4"/>
  <c r="C10" i="4"/>
  <c r="C6" i="4"/>
  <c r="C5" i="4"/>
  <c r="C4" i="4"/>
  <c r="C3" i="4"/>
  <c r="D8" i="5"/>
  <c r="D5" i="5"/>
  <c r="D6" i="5"/>
  <c r="D7" i="5"/>
  <c r="D4" i="5"/>
  <c r="C8" i="5"/>
  <c r="C6" i="5"/>
  <c r="C7" i="5"/>
  <c r="C5" i="5"/>
  <c r="C4" i="5"/>
  <c r="C6" i="3"/>
  <c r="C17" i="3" s="1"/>
  <c r="C4" i="3"/>
  <c r="C5" i="3" s="1"/>
  <c r="C3" i="3"/>
  <c r="G5" i="3" s="1"/>
  <c r="C18" i="3" l="1"/>
  <c r="C14" i="3"/>
  <c r="D14" i="3" s="1"/>
  <c r="C13" i="3"/>
  <c r="D13" i="3" s="1"/>
  <c r="C12" i="3"/>
  <c r="D12" i="3" s="1"/>
  <c r="C11" i="3"/>
  <c r="D11" i="3" s="1"/>
  <c r="C10" i="3"/>
  <c r="D10" i="3" s="1"/>
  <c r="I5" i="3" l="1"/>
  <c r="G6" i="3"/>
  <c r="G7" i="3"/>
  <c r="I6" i="3"/>
  <c r="J6" i="3"/>
  <c r="P6" i="3" s="1"/>
  <c r="O6" i="3" l="1"/>
  <c r="J5" i="3"/>
  <c r="O5" i="3"/>
  <c r="G8" i="3"/>
  <c r="I7" i="3"/>
  <c r="J7" i="3" s="1"/>
  <c r="P7" i="3" s="1"/>
  <c r="P5" i="3" l="1"/>
  <c r="K5" i="3"/>
  <c r="K6" i="3" s="1"/>
  <c r="K7" i="3" s="1"/>
  <c r="O7" i="3"/>
  <c r="G9" i="3"/>
  <c r="I8" i="3"/>
  <c r="J8" i="3" s="1"/>
  <c r="P8" i="3" s="1"/>
  <c r="O8" i="3" l="1"/>
  <c r="G10" i="3"/>
  <c r="J9" i="3"/>
  <c r="P9" i="3" s="1"/>
  <c r="I9" i="3"/>
  <c r="O9" i="3" s="1"/>
  <c r="K8" i="3"/>
  <c r="K9" i="3" l="1"/>
  <c r="G11" i="3"/>
  <c r="I10" i="3"/>
  <c r="J10" i="3" s="1"/>
  <c r="P10" i="3" s="1"/>
  <c r="O10" i="3" l="1"/>
  <c r="K10" i="3"/>
  <c r="I11" i="3"/>
  <c r="J11" i="3" s="1"/>
  <c r="P11" i="3" s="1"/>
  <c r="O11" i="3" l="1"/>
  <c r="J12" i="3"/>
  <c r="K11" i="3"/>
  <c r="L5" i="3" l="1"/>
  <c r="L6" i="3"/>
  <c r="L7" i="3"/>
  <c r="L8" i="3"/>
  <c r="L9" i="3"/>
  <c r="L10" i="3"/>
  <c r="L11" i="3"/>
  <c r="M5" i="3" l="1"/>
  <c r="M6" i="3" s="1"/>
  <c r="M7" i="3" s="1"/>
  <c r="M8" i="3" s="1"/>
  <c r="M9" i="3" s="1"/>
  <c r="M10" i="3" s="1"/>
  <c r="M11" i="3" s="1"/>
  <c r="L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4" authorId="0" shapeId="0" xr:uid="{00000000-0006-0000-0300-000001000000}">
      <text>
        <r>
          <rPr>
            <sz val="11"/>
            <color rgb="FF000000"/>
            <rFont val="Calibri"/>
            <family val="2"/>
            <charset val="1"/>
          </rPr>
          <t>Frequência absoluta (contagem de elementos naquela faixa)</t>
        </r>
      </text>
    </comment>
    <comment ref="K4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 xml:space="preserve">Frequência absoluta acumulada, que é a contagem acumulada até aquela faixa
</t>
        </r>
      </text>
    </comment>
    <comment ref="L4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Frequência relativa, que é em percentual
</t>
        </r>
      </text>
    </comment>
    <comment ref="M4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Frequência relativa acumulada, também em percentual
</t>
        </r>
      </text>
    </comment>
    <comment ref="B9" authorId="0" shapeId="0" xr:uid="{00000000-0006-0000-0300-000005000000}">
      <text>
        <r>
          <rPr>
            <sz val="11"/>
            <color rgb="FF000000"/>
            <rFont val="Calibri"/>
            <family val="2"/>
            <charset val="1"/>
          </rPr>
          <t xml:space="preserve">Classes
</t>
        </r>
      </text>
    </comment>
    <comment ref="C9" authorId="0" shapeId="0" xr:uid="{00000000-0006-0000-0300-000006000000}">
      <text>
        <r>
          <rPr>
            <sz val="11"/>
            <color rgb="FF000000"/>
            <rFont val="Calibri"/>
            <family val="2"/>
            <charset val="1"/>
          </rPr>
          <t>Intervalo</t>
        </r>
      </text>
    </comment>
    <comment ref="D9" authorId="0" shapeId="0" xr:uid="{00000000-0006-0000-0300-000007000000}">
      <text>
        <r>
          <rPr>
            <sz val="11"/>
            <color rgb="FF000000"/>
            <rFont val="Calibri"/>
            <family val="2"/>
            <charset val="1"/>
          </rPr>
          <t>Resto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4" authorId="0" shapeId="0" xr:uid="{00000000-0006-0000-0400-000001000000}">
      <text>
        <r>
          <rPr>
            <sz val="11"/>
            <color rgb="FF000000"/>
            <rFont val="Calibri"/>
            <family val="2"/>
            <charset val="1"/>
          </rPr>
          <t>Frequência absoluta (contagem de elementos naquela faixa)</t>
        </r>
      </text>
    </comment>
    <comment ref="K4" authorId="0" shapeId="0" xr:uid="{00000000-0006-0000-0400-000002000000}">
      <text>
        <r>
          <rPr>
            <sz val="11"/>
            <color rgb="FF000000"/>
            <rFont val="Calibri"/>
            <family val="2"/>
            <charset val="1"/>
          </rPr>
          <t xml:space="preserve">Frequência absoluta acumulada, que é a contagem acumulada até aquela faixa
</t>
        </r>
      </text>
    </comment>
    <comment ref="L4" authorId="0" shapeId="0" xr:uid="{00000000-0006-0000-0400-000003000000}">
      <text>
        <r>
          <rPr>
            <sz val="11"/>
            <color rgb="FF000000"/>
            <rFont val="Calibri"/>
            <family val="2"/>
            <charset val="1"/>
          </rPr>
          <t xml:space="preserve">Frequência relativa, que é em percentual
</t>
        </r>
      </text>
    </comment>
    <comment ref="M4" authorId="0" shapeId="0" xr:uid="{00000000-0006-0000-0400-000004000000}">
      <text>
        <r>
          <rPr>
            <sz val="11"/>
            <color rgb="FF000000"/>
            <rFont val="Calibri"/>
            <family val="2"/>
            <charset val="1"/>
          </rPr>
          <t xml:space="preserve">Frequência relativa acumulada, também em percentual
</t>
        </r>
      </text>
    </comment>
    <comment ref="B9" authorId="0" shapeId="0" xr:uid="{00000000-0006-0000-0400-000005000000}">
      <text>
        <r>
          <rPr>
            <sz val="11"/>
            <color rgb="FF000000"/>
            <rFont val="Calibri"/>
            <family val="2"/>
            <charset val="1"/>
          </rPr>
          <t xml:space="preserve">Classes
</t>
        </r>
      </text>
    </comment>
    <comment ref="C9" authorId="0" shapeId="0" xr:uid="{00000000-0006-0000-0400-000006000000}">
      <text>
        <r>
          <rPr>
            <sz val="11"/>
            <color rgb="FF000000"/>
            <rFont val="Calibri"/>
            <family val="2"/>
            <charset val="1"/>
          </rPr>
          <t>Intervalo</t>
        </r>
      </text>
    </comment>
    <comment ref="D9" authorId="0" shapeId="0" xr:uid="{00000000-0006-0000-0400-000007000000}">
      <text>
        <r>
          <rPr>
            <sz val="11"/>
            <color rgb="FF000000"/>
            <rFont val="Calibri"/>
            <family val="2"/>
            <charset val="1"/>
          </rPr>
          <t>Resto</t>
        </r>
      </text>
    </comment>
  </commentList>
</comments>
</file>

<file path=xl/sharedStrings.xml><?xml version="1.0" encoding="utf-8"?>
<sst xmlns="http://schemas.openxmlformats.org/spreadsheetml/2006/main" count="463" uniqueCount="68">
  <si>
    <t>Sexo</t>
  </si>
  <si>
    <t>Idade</t>
  </si>
  <si>
    <t>Peso</t>
  </si>
  <si>
    <t>Altura</t>
  </si>
  <si>
    <t>Colesterol LDL mg %</t>
  </si>
  <si>
    <t>Cidade</t>
  </si>
  <si>
    <t>Estado</t>
  </si>
  <si>
    <t>Fumo</t>
  </si>
  <si>
    <t>Alimentação</t>
  </si>
  <si>
    <t>Álcool</t>
  </si>
  <si>
    <t>Turno de trabalho</t>
  </si>
  <si>
    <t>F</t>
  </si>
  <si>
    <t>Santa Rita do Sapucai</t>
  </si>
  <si>
    <t>MG</t>
  </si>
  <si>
    <t>Sim</t>
  </si>
  <si>
    <t>saudável</t>
  </si>
  <si>
    <t>Raramente</t>
  </si>
  <si>
    <t>1º</t>
  </si>
  <si>
    <t>M</t>
  </si>
  <si>
    <t>Pouso Alegre</t>
  </si>
  <si>
    <t>não saudável</t>
  </si>
  <si>
    <t>2º</t>
  </si>
  <si>
    <t>Volta Redonda</t>
  </si>
  <si>
    <t>RJ</t>
  </si>
  <si>
    <t>Frequentemente</t>
  </si>
  <si>
    <t>3º</t>
  </si>
  <si>
    <t>Não</t>
  </si>
  <si>
    <t>Nunca</t>
  </si>
  <si>
    <t>Santo Antônio do Pinhal</t>
  </si>
  <si>
    <t>SP</t>
  </si>
  <si>
    <t>Itajubá</t>
  </si>
  <si>
    <t>Maria da Fé</t>
  </si>
  <si>
    <t>Extrema</t>
  </si>
  <si>
    <t>Sempre</t>
  </si>
  <si>
    <t>Bom Repouso</t>
  </si>
  <si>
    <t>Suzano</t>
  </si>
  <si>
    <t>Campinas</t>
  </si>
  <si>
    <t>Itu</t>
  </si>
  <si>
    <t>Varginha</t>
  </si>
  <si>
    <t>Campanha</t>
  </si>
  <si>
    <t>Andradas</t>
  </si>
  <si>
    <t>Jacuí</t>
  </si>
  <si>
    <t>São Lourenço</t>
  </si>
  <si>
    <t>ETAPA 1</t>
  </si>
  <si>
    <t>ETAPA 4</t>
  </si>
  <si>
    <t>Valor Mínimo</t>
  </si>
  <si>
    <t>Valor Máximo</t>
  </si>
  <si>
    <t>Altura [m]</t>
  </si>
  <si>
    <t>fa</t>
  </si>
  <si>
    <t>fA</t>
  </si>
  <si>
    <t>fr</t>
  </si>
  <si>
    <t>fR</t>
  </si>
  <si>
    <t>Amplitude Total (AT)</t>
  </si>
  <si>
    <t>-</t>
  </si>
  <si>
    <t>Número de indivíduos (N)</t>
  </si>
  <si>
    <t>ETAPA 2</t>
  </si>
  <si>
    <t>C</t>
  </si>
  <si>
    <t>I</t>
  </si>
  <si>
    <t>R</t>
  </si>
  <si>
    <t>Total</t>
  </si>
  <si>
    <t>ETAPA 3 (em caso de empate é decisiva)</t>
  </si>
  <si>
    <t>Fórmula de Sturges (C)</t>
  </si>
  <si>
    <t>Valor arredondado para cima</t>
  </si>
  <si>
    <t>Colesterol LDL [mg %]</t>
  </si>
  <si>
    <t>Ponto Médio</t>
  </si>
  <si>
    <t>Tabela: consumo de álcool de 52 funcionários da indústria "Comer Bem" de Porto Alegre, 2023.</t>
  </si>
  <si>
    <t>Tabela: altura, em m, de 52 funcionários da indústria "Comer Bem" de Porto Alegre, 2023.</t>
  </si>
  <si>
    <t>Tabela: colesterol LDL, em mg %, de 52 funcionários da indústria "Comer Bem" de Porto Alegre,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</si>
</sst>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9D9D9"/>
        <bgColor rgb="FFE6B9B8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  <fill>
      <patternFill patternType="solid">
        <fgColor rgb="FFE46C0A"/>
        <bgColor rgb="FFFF9900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0" fontId="6" fillId="0" borderId="0"/>
    <xf numFmtId="9" fontId="6" fillId="0" borderId="0" applyBorder="0" applyProtection="0"/>
    <xf numFmtId="0" fontId="3" fillId="0" borderId="0" applyBorder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vertical="center"/>
    </xf>
    <xf numFmtId="0" fontId="4" fillId="2" borderId="2" xfId="1" applyFont="1" applyFill="1" applyBorder="1" applyAlignment="1">
      <alignment horizontal="left" vertical="center"/>
    </xf>
    <xf numFmtId="2" fontId="0" fillId="3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left" vertical="center"/>
    </xf>
    <xf numFmtId="2" fontId="0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10" fontId="0" fillId="0" borderId="2" xfId="2" applyNumberFormat="1" applyFont="1" applyBorder="1" applyAlignment="1" applyProtection="1">
      <alignment horizontal="center" vertical="center"/>
    </xf>
    <xf numFmtId="9" fontId="0" fillId="0" borderId="4" xfId="1" applyNumberFormat="1" applyFont="1" applyBorder="1" applyAlignment="1">
      <alignment horizontal="center" vertical="center"/>
    </xf>
    <xf numFmtId="0" fontId="4" fillId="2" borderId="2" xfId="1" applyFont="1" applyFill="1" applyBorder="1" applyAlignment="1">
      <alignment vertical="center"/>
    </xf>
    <xf numFmtId="0" fontId="0" fillId="3" borderId="5" xfId="1" applyFont="1" applyFill="1" applyBorder="1" applyAlignment="1">
      <alignment horizontal="center" vertical="center"/>
    </xf>
    <xf numFmtId="0" fontId="2" fillId="0" borderId="0" xfId="3" applyFont="1" applyBorder="1" applyAlignment="1" applyProtection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2" borderId="2" xfId="1" applyFont="1" applyFill="1" applyBorder="1" applyAlignment="1">
      <alignment horizontal="center" vertical="center"/>
    </xf>
    <xf numFmtId="9" fontId="0" fillId="2" borderId="2" xfId="1" applyNumberFormat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1" applyFont="1"/>
    <xf numFmtId="0" fontId="4" fillId="6" borderId="2" xfId="1" applyFont="1" applyFill="1" applyBorder="1" applyAlignment="1">
      <alignment horizontal="left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left" vertical="center"/>
    </xf>
    <xf numFmtId="1" fontId="0" fillId="0" borderId="1" xfId="1" applyNumberFormat="1" applyFont="1" applyBorder="1" applyAlignment="1">
      <alignment horizontal="center" vertical="center"/>
    </xf>
    <xf numFmtId="0" fontId="4" fillId="6" borderId="2" xfId="1" applyFont="1" applyFill="1" applyBorder="1" applyAlignment="1">
      <alignment vertical="center"/>
    </xf>
    <xf numFmtId="1" fontId="0" fillId="0" borderId="0" xfId="1" applyNumberFormat="1" applyFont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9" fontId="0" fillId="0" borderId="2" xfId="2" applyFont="1" applyBorder="1" applyAlignment="1" applyProtection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0" fillId="8" borderId="0" xfId="0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wrapText="1"/>
    </xf>
    <xf numFmtId="0" fontId="4" fillId="2" borderId="3" xfId="1" applyFont="1" applyFill="1" applyBorder="1" applyAlignment="1">
      <alignment horizontal="center" vertical="center"/>
    </xf>
    <xf numFmtId="0" fontId="2" fillId="0" borderId="1" xfId="3" applyFont="1" applyBorder="1" applyAlignment="1" applyProtection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 wrapText="1"/>
    </xf>
    <xf numFmtId="9" fontId="0" fillId="8" borderId="0" xfId="0" applyNumberFormat="1" applyFill="1"/>
    <xf numFmtId="9" fontId="0" fillId="7" borderId="7" xfId="0" applyNumberFormat="1" applyFill="1" applyBorder="1"/>
    <xf numFmtId="9" fontId="0" fillId="6" borderId="2" xfId="1" applyNumberFormat="1" applyFont="1" applyFill="1" applyBorder="1" applyAlignment="1">
      <alignment horizontal="center" vertical="center"/>
    </xf>
  </cellXfs>
  <cellStyles count="4">
    <cellStyle name="Excel Built-in Heading 4" xfId="3" xr:uid="{00000000-0005-0000-0000-000000000000}"/>
    <cellStyle name="Normal" xfId="0" builtinId="0"/>
    <cellStyle name="Normal 2" xfId="1" xr:uid="{00000000-0005-0000-0000-000002000000}"/>
    <cellStyle name="Porcentagem 2" xfId="2" xr:uid="{00000000-0005-0000-0000-000003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Tabela: consumo de álcool de 52 funcionários da indústria "Comer Bem" de Porto Alegre, 2023.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Tabela_Freq_Álcool!$C$2:$C$3</c:f>
              <c:strCache>
                <c:ptCount val="2"/>
                <c:pt idx="0">
                  <c:v>Tabela: consumo de álcool de 52 funcionários da indústria "Comer Bem" de Porto Alegre, 2023.</c:v>
                </c:pt>
                <c:pt idx="1">
                  <c:v>fa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A1F-4D0E-8079-70B15E84CE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Tabela_Freq_Álcool!$B$4:$B$7</c:f>
              <c:strCache>
                <c:ptCount val="4"/>
                <c:pt idx="0">
                  <c:v>Nunca</c:v>
                </c:pt>
                <c:pt idx="1">
                  <c:v>Raramente</c:v>
                </c:pt>
                <c:pt idx="2">
                  <c:v>Frequentemente</c:v>
                </c:pt>
                <c:pt idx="3">
                  <c:v>Sempre</c:v>
                </c:pt>
              </c:strCache>
            </c:strRef>
          </c:cat>
          <c:val>
            <c:numRef>
              <c:f>Tabela_Freq_Álcool!$C$4:$C$7</c:f>
              <c:numCache>
                <c:formatCode>General</c:formatCode>
                <c:ptCount val="4"/>
                <c:pt idx="0">
                  <c:v>13</c:v>
                </c:pt>
                <c:pt idx="1">
                  <c:v>19</c:v>
                </c:pt>
                <c:pt idx="2">
                  <c:v>18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F-4D0E-8079-70B15E84CE85}"/>
            </c:ext>
          </c:extLst>
        </c:ser>
        <c:ser>
          <c:idx val="1"/>
          <c:order val="1"/>
          <c:tx>
            <c:strRef>
              <c:f>Tabela_Freq_Álcool!$D$2:$D$3</c:f>
              <c:strCache>
                <c:ptCount val="2"/>
                <c:pt idx="0">
                  <c:v>Tabela: consumo de álcool de 52 funcionários da indústria "Comer Bem" de Porto Alegre, 2023.</c:v>
                </c:pt>
                <c:pt idx="1">
                  <c:v>fr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Tabela_Freq_Álcool!$B$4:$B$7</c:f>
              <c:strCache>
                <c:ptCount val="4"/>
                <c:pt idx="0">
                  <c:v>Nunca</c:v>
                </c:pt>
                <c:pt idx="1">
                  <c:v>Raramente</c:v>
                </c:pt>
                <c:pt idx="2">
                  <c:v>Frequentemente</c:v>
                </c:pt>
                <c:pt idx="3">
                  <c:v>Sempre</c:v>
                </c:pt>
              </c:strCache>
            </c:strRef>
          </c:cat>
          <c:val>
            <c:numRef>
              <c:f>Tabela_Freq_Álcool!$D$4:$D$7</c:f>
              <c:numCache>
                <c:formatCode>0%</c:formatCode>
                <c:ptCount val="4"/>
                <c:pt idx="0">
                  <c:v>0.25</c:v>
                </c:pt>
                <c:pt idx="1">
                  <c:v>0.36538461538461536</c:v>
                </c:pt>
                <c:pt idx="2">
                  <c:v>0.34615384615384615</c:v>
                </c:pt>
                <c:pt idx="3">
                  <c:v>3.8461538461538464E-2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1F-4D0E-8079-70B15E84C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Tabela: consumo de álcool de 52 funcionários da indústria "Comer Bem" de Porto Alegre, 2023.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525-4375-BF0A-C8488502BA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25-4375-BF0A-C8488502BACD}"/>
              </c:ext>
            </c:extLst>
          </c:dPt>
          <c:dLbls>
            <c:dLbl>
              <c:idx val="1"/>
              <c:layout>
                <c:manualLayout>
                  <c:x val="1.3888888888888788E-2"/>
                  <c:y val="-6.0185185185185272E-2"/>
                </c:manualLayout>
              </c:layout>
              <c:dLblPos val="bestFit"/>
              <c:showLegendKey val="0"/>
              <c:showVal val="1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25-4375-BF0A-C8488502BACD}"/>
                </c:ext>
              </c:extLst>
            </c:dLbl>
            <c:dLbl>
              <c:idx val="3"/>
              <c:layout>
                <c:manualLayout>
                  <c:x val="-5.5555555555555558E-3"/>
                  <c:y val="9.2592592592592379E-3"/>
                </c:manualLayout>
              </c:layout>
              <c:dLblPos val="bestFit"/>
              <c:showLegendKey val="0"/>
              <c:showVal val="1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25-4375-BF0A-C8488502BA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1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Tabela_Freq_Álcool!$B$4:$B$7</c:f>
              <c:strCache>
                <c:ptCount val="4"/>
                <c:pt idx="0">
                  <c:v>Nunca</c:v>
                </c:pt>
                <c:pt idx="1">
                  <c:v>Raramente</c:v>
                </c:pt>
                <c:pt idx="2">
                  <c:v>Frequentemente</c:v>
                </c:pt>
                <c:pt idx="3">
                  <c:v>Sempre</c:v>
                </c:pt>
              </c:strCache>
            </c:strRef>
          </c:cat>
          <c:val>
            <c:numRef>
              <c:f>Tabela_Freq_Álcool!$C$4:$C$7</c:f>
              <c:numCache>
                <c:formatCode>General</c:formatCode>
                <c:ptCount val="4"/>
                <c:pt idx="0">
                  <c:v>13</c:v>
                </c:pt>
                <c:pt idx="1">
                  <c:v>19</c:v>
                </c:pt>
                <c:pt idx="2">
                  <c:v>18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25-4375-BF0A-C8488502BACD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Tabela_Freq_Álcool!$B$4:$B$7</c:f>
              <c:strCache>
                <c:ptCount val="4"/>
                <c:pt idx="0">
                  <c:v>Nunca</c:v>
                </c:pt>
                <c:pt idx="1">
                  <c:v>Raramente</c:v>
                </c:pt>
                <c:pt idx="2">
                  <c:v>Frequentemente</c:v>
                </c:pt>
                <c:pt idx="3">
                  <c:v>Sempre</c:v>
                </c:pt>
              </c:strCache>
            </c:strRef>
          </c:cat>
          <c:val>
            <c:numRef>
              <c:f>Tabela_Freq_Álcool!$D$4:$D$7</c:f>
              <c:numCache>
                <c:formatCode>0%</c:formatCode>
                <c:ptCount val="4"/>
                <c:pt idx="0">
                  <c:v>0.25</c:v>
                </c:pt>
                <c:pt idx="1">
                  <c:v>0.36538461538461536</c:v>
                </c:pt>
                <c:pt idx="2">
                  <c:v>0.34615384615384615</c:v>
                </c:pt>
                <c:pt idx="3">
                  <c:v>3.8461538461538464E-2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25-4375-BF0A-C8488502B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Gráfico: altura, em m, de 52 funcionários da indústria "Comer Bem" de Porto Alegre, 2023.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Tabela_Freq_Altura!$O$4:$O$12</c:f>
              <c:numCache>
                <c:formatCode>General</c:formatCode>
                <c:ptCount val="9"/>
                <c:pt idx="1">
                  <c:v>1.5249999999999999</c:v>
                </c:pt>
                <c:pt idx="2">
                  <c:v>1.585</c:v>
                </c:pt>
                <c:pt idx="3">
                  <c:v>1.645</c:v>
                </c:pt>
                <c:pt idx="4">
                  <c:v>1.7050000000000001</c:v>
                </c:pt>
                <c:pt idx="5">
                  <c:v>1.7650000000000001</c:v>
                </c:pt>
                <c:pt idx="6">
                  <c:v>1.8250000000000002</c:v>
                </c:pt>
                <c:pt idx="7">
                  <c:v>1.8850000000000002</c:v>
                </c:pt>
              </c:numCache>
            </c:numRef>
          </c:cat>
          <c:val>
            <c:numRef>
              <c:f>Tabela_Freq_Altura!$P$4:$P$12</c:f>
              <c:numCache>
                <c:formatCode>General</c:formatCode>
                <c:ptCount val="9"/>
                <c:pt idx="1">
                  <c:v>7</c:v>
                </c:pt>
                <c:pt idx="2">
                  <c:v>9</c:v>
                </c:pt>
                <c:pt idx="3">
                  <c:v>9</c:v>
                </c:pt>
                <c:pt idx="4">
                  <c:v>16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E-4B5B-86EC-61BC6086B5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542704472"/>
        <c:axId val="542705784"/>
      </c:barChart>
      <c:catAx>
        <c:axId val="542704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Altura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85000"/>
                <a:lumOff val="1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2705784"/>
        <c:crosses val="autoZero"/>
        <c:auto val="1"/>
        <c:lblAlgn val="ctr"/>
        <c:lblOffset val="100"/>
        <c:noMultiLvlLbl val="0"/>
      </c:catAx>
      <c:valAx>
        <c:axId val="54270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85000"/>
                <a:lumOff val="15000"/>
              </a:schemeClr>
            </a:solidFill>
            <a:headEnd type="none"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2704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sz="1050" b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Figura 1: colesterol LDL, em mg %, de 52 funcionários da indústria "Comer Bem" de Porto Alegre, 2023.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1157599482006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70-418C-8606-788DA7B3BC5A}"/>
                </c:ext>
              </c:extLst>
            </c:dLbl>
            <c:dLbl>
              <c:idx val="2"/>
              <c:layout>
                <c:manualLayout>
                  <c:x val="0"/>
                  <c:y val="1.11575994820061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70-418C-8606-788DA7B3BC5A}"/>
                </c:ext>
              </c:extLst>
            </c:dLbl>
            <c:dLbl>
              <c:idx val="3"/>
              <c:layout>
                <c:manualLayout>
                  <c:x val="-8.668142575673187E-17"/>
                  <c:y val="1.11575994820061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70-418C-8606-788DA7B3BC5A}"/>
                </c:ext>
              </c:extLst>
            </c:dLbl>
            <c:dLbl>
              <c:idx val="4"/>
              <c:layout>
                <c:manualLayout>
                  <c:x val="0"/>
                  <c:y val="1.48767993093416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70-418C-8606-788DA7B3BC5A}"/>
                </c:ext>
              </c:extLst>
            </c:dLbl>
            <c:dLbl>
              <c:idx val="7"/>
              <c:layout>
                <c:manualLayout>
                  <c:x val="0"/>
                  <c:y val="1.48767993093416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70-418C-8606-788DA7B3BC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Tabela_Freq_Colesterol!$O$5:$O$12</c:f>
              <c:numCache>
                <c:formatCode>General</c:formatCode>
                <c:ptCount val="8"/>
                <c:pt idx="0">
                  <c:v>71.5</c:v>
                </c:pt>
                <c:pt idx="1">
                  <c:v>115.5</c:v>
                </c:pt>
                <c:pt idx="2">
                  <c:v>159.5</c:v>
                </c:pt>
                <c:pt idx="3">
                  <c:v>203.5</c:v>
                </c:pt>
                <c:pt idx="4">
                  <c:v>247.5</c:v>
                </c:pt>
                <c:pt idx="5">
                  <c:v>291.5</c:v>
                </c:pt>
                <c:pt idx="6">
                  <c:v>335.5</c:v>
                </c:pt>
                <c:pt idx="7">
                  <c:v>379.5</c:v>
                </c:pt>
              </c:numCache>
            </c:numRef>
          </c:cat>
          <c:val>
            <c:numRef>
              <c:f>Tabela_Freq_Colesterol!$P$5:$P$12</c:f>
              <c:numCache>
                <c:formatCode>General</c:formatCode>
                <c:ptCount val="8"/>
                <c:pt idx="0">
                  <c:v>15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0-418C-8606-788DA7B3B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6792672"/>
        <c:axId val="496786912"/>
      </c:barChart>
      <c:catAx>
        <c:axId val="49679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Colesterol LDL [mg 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4000"/>
              </a:schemeClr>
            </a:solidFill>
            <a:round/>
            <a:tailEnd type="triangle"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786912"/>
        <c:crosses val="autoZero"/>
        <c:auto val="1"/>
        <c:lblAlgn val="ctr"/>
        <c:lblOffset val="100"/>
        <c:noMultiLvlLbl val="0"/>
      </c:catAx>
      <c:valAx>
        <c:axId val="4967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79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663087</xdr:colOff>
      <xdr:row>1</xdr:row>
      <xdr:rowOff>5862</xdr:rowOff>
    </xdr:from>
    <xdr:to>
      <xdr:col>10</xdr:col>
      <xdr:colOff>619125</xdr:colOff>
      <xdr:row>14</xdr:row>
      <xdr:rowOff>52754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F806325-BCAD-BC12-E870-4728F3842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699721</xdr:colOff>
      <xdr:row>0</xdr:row>
      <xdr:rowOff>174381</xdr:rowOff>
    </xdr:from>
    <xdr:to>
      <xdr:col>16</xdr:col>
      <xdr:colOff>655760</xdr:colOff>
      <xdr:row>14</xdr:row>
      <xdr:rowOff>30773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E104BDB-54ED-BCB5-8700-509A0A484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142875</xdr:rowOff>
    </xdr:from>
    <xdr:to>
      <xdr:col>14</xdr:col>
      <xdr:colOff>295275</xdr:colOff>
      <xdr:row>22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6</xdr:row>
      <xdr:rowOff>247649</xdr:rowOff>
    </xdr:from>
    <xdr:ext cx="1381125" cy="43678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7DDD33F-43CE-A5C8-56BD-6D84C3FF9B30}"/>
            </a:ext>
          </a:extLst>
        </xdr:cNvPr>
        <xdr:cNvSpPr txBox="1"/>
      </xdr:nvSpPr>
      <xdr:spPr>
        <a:xfrm>
          <a:off x="2447925" y="2152649"/>
          <a:ext cx="13811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I = AT+1/C</a:t>
          </a:r>
        </a:p>
        <a:p>
          <a:r>
            <a:rPr lang="pt-BR" sz="1100"/>
            <a:t>R = C*I-(AT+1)</a:t>
          </a:r>
        </a:p>
      </xdr:txBody>
    </xdr:sp>
    <xdr:clientData/>
  </xdr:oneCellAnchor>
  <xdr:twoCellAnchor>
    <xdr:from>
      <xdr:col>17</xdr:col>
      <xdr:colOff>466725</xdr:colOff>
      <xdr:row>3</xdr:row>
      <xdr:rowOff>223836</xdr:rowOff>
    </xdr:from>
    <xdr:to>
      <xdr:col>26</xdr:col>
      <xdr:colOff>352425</xdr:colOff>
      <xdr:row>12</xdr:row>
      <xdr:rowOff>209549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8E1CD74-5FB5-9032-3052-01CCACC84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53" totalsRowShown="0" headerRowDxfId="12" dataDxfId="11">
  <autoFilter ref="A1:K53" xr:uid="{00000000-0009-0000-0100-000001000000}"/>
  <tableColumns count="11">
    <tableColumn id="1" xr3:uid="{00000000-0010-0000-0000-000001000000}" name="Sexo" dataDxfId="10"/>
    <tableColumn id="2" xr3:uid="{00000000-0010-0000-0000-000002000000}" name="Idade" dataDxfId="9"/>
    <tableColumn id="3" xr3:uid="{00000000-0010-0000-0000-000003000000}" name="Peso" dataDxfId="8"/>
    <tableColumn id="4" xr3:uid="{00000000-0010-0000-0000-000004000000}" name="Altura" dataDxfId="7"/>
    <tableColumn id="5" xr3:uid="{00000000-0010-0000-0000-000005000000}" name="Colesterol LDL mg %" dataDxfId="6"/>
    <tableColumn id="6" xr3:uid="{00000000-0010-0000-0000-000006000000}" name="Cidade" dataDxfId="5"/>
    <tableColumn id="7" xr3:uid="{00000000-0010-0000-0000-000007000000}" name="Estado" dataDxfId="4"/>
    <tableColumn id="8" xr3:uid="{00000000-0010-0000-0000-000008000000}" name="Fumo" dataDxfId="3"/>
    <tableColumn id="9" xr3:uid="{00000000-0010-0000-0000-000009000000}" name="Alimentação" dataDxfId="2"/>
    <tableColumn id="10" xr3:uid="{00000000-0010-0000-0000-00000A000000}" name="Álcool" dataDxfId="1"/>
    <tableColumn id="11" xr3:uid="{00000000-0010-0000-0000-00000B000000}" name="Turno de trabalh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zoomScaleNormal="100" workbookViewId="0">
      <selection activeCell="E1" sqref="E1"/>
    </sheetView>
  </sheetViews>
  <sheetFormatPr defaultColWidth="8.7109375" defaultRowHeight="15" x14ac:dyDescent="0.25"/>
  <cols>
    <col min="1" max="1" width="7.42578125" customWidth="1"/>
    <col min="2" max="2" width="8.140625" customWidth="1"/>
    <col min="3" max="3" width="7.42578125" customWidth="1"/>
    <col min="4" max="4" width="8.5703125" customWidth="1"/>
    <col min="5" max="5" width="10.85546875" customWidth="1"/>
    <col min="6" max="6" width="22.7109375" customWidth="1"/>
    <col min="7" max="7" width="9" customWidth="1"/>
    <col min="8" max="8" width="8.140625" customWidth="1"/>
    <col min="9" max="9" width="14.28515625" customWidth="1"/>
    <col min="10" max="10" width="16.28515625" customWidth="1"/>
    <col min="11" max="11" width="18.85546875" customWidth="1"/>
  </cols>
  <sheetData>
    <row r="1" spans="1:11" s="1" customFormat="1" ht="31.5" x14ac:dyDescent="0.2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</row>
    <row r="2" spans="1:11" x14ac:dyDescent="0.25">
      <c r="A2" t="s">
        <v>11</v>
      </c>
      <c r="B2" s="41">
        <v>22</v>
      </c>
      <c r="C2" s="41">
        <v>53</v>
      </c>
      <c r="D2" s="41">
        <v>1.72</v>
      </c>
      <c r="E2" s="41">
        <v>50</v>
      </c>
      <c r="F2" s="42" t="s">
        <v>12</v>
      </c>
      <c r="G2" s="42" t="s">
        <v>13</v>
      </c>
      <c r="H2" s="42" t="s">
        <v>14</v>
      </c>
      <c r="I2" s="42" t="s">
        <v>15</v>
      </c>
      <c r="J2" s="42" t="s">
        <v>16</v>
      </c>
      <c r="K2" s="42" t="s">
        <v>17</v>
      </c>
    </row>
    <row r="3" spans="1:11" x14ac:dyDescent="0.25">
      <c r="A3" t="s">
        <v>18</v>
      </c>
      <c r="B3" s="41">
        <v>58</v>
      </c>
      <c r="C3" s="41">
        <v>60</v>
      </c>
      <c r="D3" s="41">
        <v>1.58</v>
      </c>
      <c r="E3" s="41">
        <v>100</v>
      </c>
      <c r="F3" s="42" t="s">
        <v>19</v>
      </c>
      <c r="G3" s="42" t="s">
        <v>13</v>
      </c>
      <c r="H3" s="42" t="s">
        <v>14</v>
      </c>
      <c r="I3" s="42" t="s">
        <v>20</v>
      </c>
      <c r="J3" s="42" t="s">
        <v>16</v>
      </c>
      <c r="K3" s="42" t="s">
        <v>21</v>
      </c>
    </row>
    <row r="4" spans="1:11" x14ac:dyDescent="0.25">
      <c r="A4" t="s">
        <v>11</v>
      </c>
      <c r="B4" s="41">
        <v>51</v>
      </c>
      <c r="C4" s="41">
        <v>88</v>
      </c>
      <c r="D4" s="41">
        <v>1.74</v>
      </c>
      <c r="E4" s="41">
        <v>190</v>
      </c>
      <c r="F4" s="42" t="s">
        <v>22</v>
      </c>
      <c r="G4" s="42" t="s">
        <v>23</v>
      </c>
      <c r="H4" s="42" t="s">
        <v>14</v>
      </c>
      <c r="I4" s="42" t="s">
        <v>15</v>
      </c>
      <c r="J4" s="42" t="s">
        <v>24</v>
      </c>
      <c r="K4" s="42" t="s">
        <v>25</v>
      </c>
    </row>
    <row r="5" spans="1:11" x14ac:dyDescent="0.25">
      <c r="A5" t="s">
        <v>11</v>
      </c>
      <c r="B5" s="41">
        <v>21</v>
      </c>
      <c r="C5" s="41">
        <v>51</v>
      </c>
      <c r="D5" s="41">
        <v>1.53</v>
      </c>
      <c r="E5" s="41">
        <v>90</v>
      </c>
      <c r="F5" s="42" t="s">
        <v>12</v>
      </c>
      <c r="G5" s="42" t="s">
        <v>13</v>
      </c>
      <c r="H5" s="42" t="s">
        <v>14</v>
      </c>
      <c r="I5" s="42" t="s">
        <v>15</v>
      </c>
      <c r="J5" s="42" t="s">
        <v>16</v>
      </c>
      <c r="K5" s="42" t="s">
        <v>17</v>
      </c>
    </row>
    <row r="6" spans="1:11" x14ac:dyDescent="0.25">
      <c r="A6" t="s">
        <v>11</v>
      </c>
      <c r="B6" s="41">
        <v>52</v>
      </c>
      <c r="C6" s="41">
        <v>65</v>
      </c>
      <c r="D6" s="41">
        <v>1.5</v>
      </c>
      <c r="E6" s="41">
        <v>130</v>
      </c>
      <c r="F6" s="42" t="s">
        <v>12</v>
      </c>
      <c r="G6" s="42" t="s">
        <v>13</v>
      </c>
      <c r="H6" s="42" t="s">
        <v>26</v>
      </c>
      <c r="I6" s="42" t="s">
        <v>15</v>
      </c>
      <c r="J6" s="42" t="s">
        <v>27</v>
      </c>
      <c r="K6" s="42" t="s">
        <v>21</v>
      </c>
    </row>
    <row r="7" spans="1:11" x14ac:dyDescent="0.25">
      <c r="A7" t="s">
        <v>18</v>
      </c>
      <c r="B7" s="41">
        <v>25</v>
      </c>
      <c r="C7" s="41">
        <v>78</v>
      </c>
      <c r="D7" s="41">
        <v>1.8</v>
      </c>
      <c r="E7" s="41">
        <v>110</v>
      </c>
      <c r="F7" s="42" t="s">
        <v>28</v>
      </c>
      <c r="G7" s="42" t="s">
        <v>29</v>
      </c>
      <c r="H7" s="42" t="s">
        <v>26</v>
      </c>
      <c r="I7" s="42" t="s">
        <v>20</v>
      </c>
      <c r="J7" s="42" t="s">
        <v>16</v>
      </c>
      <c r="K7" s="42" t="s">
        <v>17</v>
      </c>
    </row>
    <row r="8" spans="1:11" x14ac:dyDescent="0.25">
      <c r="A8" t="s">
        <v>11</v>
      </c>
      <c r="B8" s="41">
        <v>18</v>
      </c>
      <c r="C8" s="41">
        <v>50</v>
      </c>
      <c r="D8" s="41">
        <v>1.56</v>
      </c>
      <c r="E8" s="41">
        <v>50</v>
      </c>
      <c r="F8" s="42" t="s">
        <v>12</v>
      </c>
      <c r="G8" s="42" t="s">
        <v>13</v>
      </c>
      <c r="H8" s="42" t="s">
        <v>14</v>
      </c>
      <c r="I8" s="42" t="s">
        <v>15</v>
      </c>
      <c r="J8" s="42" t="s">
        <v>16</v>
      </c>
      <c r="K8" s="42" t="s">
        <v>17</v>
      </c>
    </row>
    <row r="9" spans="1:11" x14ac:dyDescent="0.25">
      <c r="A9" t="s">
        <v>18</v>
      </c>
      <c r="B9" s="41">
        <v>20</v>
      </c>
      <c r="C9" s="41">
        <v>47</v>
      </c>
      <c r="D9" s="41">
        <v>1.56</v>
      </c>
      <c r="E9" s="41">
        <v>400</v>
      </c>
      <c r="F9" s="42" t="s">
        <v>19</v>
      </c>
      <c r="G9" s="42" t="s">
        <v>13</v>
      </c>
      <c r="H9" s="42" t="s">
        <v>14</v>
      </c>
      <c r="I9" s="42" t="s">
        <v>20</v>
      </c>
      <c r="J9" s="42" t="s">
        <v>27</v>
      </c>
      <c r="K9" s="42" t="s">
        <v>25</v>
      </c>
    </row>
    <row r="10" spans="1:11" x14ac:dyDescent="0.25">
      <c r="A10" t="s">
        <v>11</v>
      </c>
      <c r="B10" s="41">
        <v>25</v>
      </c>
      <c r="C10" s="41">
        <v>65</v>
      </c>
      <c r="D10" s="41">
        <v>1.63</v>
      </c>
      <c r="E10" s="41">
        <v>86</v>
      </c>
      <c r="F10" s="42" t="s">
        <v>19</v>
      </c>
      <c r="G10" s="42" t="s">
        <v>13</v>
      </c>
      <c r="H10" s="42" t="s">
        <v>14</v>
      </c>
      <c r="I10" s="42" t="s">
        <v>15</v>
      </c>
      <c r="J10" s="42" t="s">
        <v>27</v>
      </c>
      <c r="K10" s="42" t="s">
        <v>25</v>
      </c>
    </row>
    <row r="11" spans="1:11" x14ac:dyDescent="0.25">
      <c r="A11" t="s">
        <v>11</v>
      </c>
      <c r="B11" s="41">
        <v>21</v>
      </c>
      <c r="C11" s="41">
        <v>55</v>
      </c>
      <c r="D11" s="41">
        <v>1.65</v>
      </c>
      <c r="E11" s="41">
        <v>90</v>
      </c>
      <c r="F11" s="42" t="s">
        <v>30</v>
      </c>
      <c r="G11" s="42" t="s">
        <v>13</v>
      </c>
      <c r="H11" s="42" t="s">
        <v>14</v>
      </c>
      <c r="I11" s="42" t="s">
        <v>15</v>
      </c>
      <c r="J11" s="42" t="s">
        <v>24</v>
      </c>
      <c r="K11" s="42" t="s">
        <v>17</v>
      </c>
    </row>
    <row r="12" spans="1:11" x14ac:dyDescent="0.25">
      <c r="A12" t="s">
        <v>11</v>
      </c>
      <c r="B12" s="41">
        <v>41</v>
      </c>
      <c r="C12" s="41">
        <v>92</v>
      </c>
      <c r="D12" s="41">
        <v>1.7</v>
      </c>
      <c r="E12" s="41">
        <v>115</v>
      </c>
      <c r="F12" s="42" t="s">
        <v>30</v>
      </c>
      <c r="G12" s="42" t="s">
        <v>13</v>
      </c>
      <c r="H12" s="42" t="s">
        <v>26</v>
      </c>
      <c r="I12" s="42" t="s">
        <v>15</v>
      </c>
      <c r="J12" s="42" t="s">
        <v>27</v>
      </c>
      <c r="K12" s="42" t="s">
        <v>17</v>
      </c>
    </row>
    <row r="13" spans="1:11" x14ac:dyDescent="0.25">
      <c r="A13" t="s">
        <v>18</v>
      </c>
      <c r="B13" s="41">
        <v>70</v>
      </c>
      <c r="C13" s="41">
        <v>70</v>
      </c>
      <c r="D13" s="41">
        <v>1.69</v>
      </c>
      <c r="E13" s="41">
        <v>200</v>
      </c>
      <c r="F13" s="42" t="s">
        <v>31</v>
      </c>
      <c r="G13" s="42" t="s">
        <v>13</v>
      </c>
      <c r="H13" s="42" t="s">
        <v>14</v>
      </c>
      <c r="I13" s="42" t="s">
        <v>20</v>
      </c>
      <c r="J13" s="42" t="s">
        <v>27</v>
      </c>
      <c r="K13" s="42" t="s">
        <v>21</v>
      </c>
    </row>
    <row r="14" spans="1:11" x14ac:dyDescent="0.25">
      <c r="A14" t="s">
        <v>11</v>
      </c>
      <c r="B14" s="41">
        <v>21</v>
      </c>
      <c r="C14" s="41">
        <v>72</v>
      </c>
      <c r="D14" s="41">
        <v>1.7</v>
      </c>
      <c r="E14" s="41">
        <v>150</v>
      </c>
      <c r="F14" s="42" t="s">
        <v>32</v>
      </c>
      <c r="G14" s="42" t="s">
        <v>13</v>
      </c>
      <c r="H14" s="42" t="s">
        <v>14</v>
      </c>
      <c r="I14" s="42" t="s">
        <v>15</v>
      </c>
      <c r="J14" s="42" t="s">
        <v>16</v>
      </c>
      <c r="K14" s="42" t="s">
        <v>25</v>
      </c>
    </row>
    <row r="15" spans="1:11" x14ac:dyDescent="0.25">
      <c r="A15" t="s">
        <v>18</v>
      </c>
      <c r="B15" s="41">
        <v>22</v>
      </c>
      <c r="C15" s="41">
        <v>61</v>
      </c>
      <c r="D15" s="41">
        <v>1.73</v>
      </c>
      <c r="E15" s="41">
        <v>140</v>
      </c>
      <c r="F15" s="42" t="s">
        <v>12</v>
      </c>
      <c r="G15" s="42" t="s">
        <v>13</v>
      </c>
      <c r="H15" s="42" t="s">
        <v>26</v>
      </c>
      <c r="I15" s="42" t="s">
        <v>20</v>
      </c>
      <c r="J15" s="42" t="s">
        <v>24</v>
      </c>
      <c r="K15" s="42" t="s">
        <v>21</v>
      </c>
    </row>
    <row r="16" spans="1:11" x14ac:dyDescent="0.25">
      <c r="A16" t="s">
        <v>18</v>
      </c>
      <c r="B16" s="41">
        <v>25</v>
      </c>
      <c r="C16" s="41">
        <v>92</v>
      </c>
      <c r="D16" s="41">
        <v>1.78</v>
      </c>
      <c r="E16" s="41">
        <v>300</v>
      </c>
      <c r="F16" s="42" t="s">
        <v>31</v>
      </c>
      <c r="G16" s="42" t="s">
        <v>13</v>
      </c>
      <c r="H16" s="42" t="s">
        <v>26</v>
      </c>
      <c r="I16" s="42" t="s">
        <v>15</v>
      </c>
      <c r="J16" s="42" t="s">
        <v>33</v>
      </c>
      <c r="K16" s="42" t="s">
        <v>25</v>
      </c>
    </row>
    <row r="17" spans="1:11" x14ac:dyDescent="0.25">
      <c r="A17" t="s">
        <v>18</v>
      </c>
      <c r="B17" s="41">
        <v>20</v>
      </c>
      <c r="C17" s="41">
        <v>62</v>
      </c>
      <c r="D17" s="41">
        <v>1.62</v>
      </c>
      <c r="E17" s="41">
        <v>257</v>
      </c>
      <c r="F17" s="42" t="s">
        <v>12</v>
      </c>
      <c r="G17" s="42" t="s">
        <v>13</v>
      </c>
      <c r="H17" s="42" t="s">
        <v>14</v>
      </c>
      <c r="I17" s="42" t="s">
        <v>15</v>
      </c>
      <c r="J17" s="42" t="s">
        <v>27</v>
      </c>
      <c r="K17" s="42" t="s">
        <v>17</v>
      </c>
    </row>
    <row r="18" spans="1:11" x14ac:dyDescent="0.25">
      <c r="A18" t="s">
        <v>11</v>
      </c>
      <c r="B18" s="41">
        <v>58</v>
      </c>
      <c r="C18" s="41">
        <v>78</v>
      </c>
      <c r="D18" s="41">
        <v>1.65</v>
      </c>
      <c r="E18" s="41">
        <v>300</v>
      </c>
      <c r="F18" s="42" t="s">
        <v>12</v>
      </c>
      <c r="G18" s="42" t="s">
        <v>13</v>
      </c>
      <c r="H18" s="42" t="s">
        <v>14</v>
      </c>
      <c r="I18" s="42" t="s">
        <v>15</v>
      </c>
      <c r="J18" s="42" t="s">
        <v>24</v>
      </c>
      <c r="K18" s="42" t="s">
        <v>21</v>
      </c>
    </row>
    <row r="19" spans="1:11" x14ac:dyDescent="0.25">
      <c r="A19" t="s">
        <v>18</v>
      </c>
      <c r="B19" s="41">
        <v>24</v>
      </c>
      <c r="C19" s="41">
        <v>68</v>
      </c>
      <c r="D19" s="41">
        <v>1.72</v>
      </c>
      <c r="E19" s="41">
        <v>190</v>
      </c>
      <c r="F19" s="42" t="s">
        <v>12</v>
      </c>
      <c r="G19" s="42" t="s">
        <v>13</v>
      </c>
      <c r="H19" s="42" t="s">
        <v>26</v>
      </c>
      <c r="I19" s="42" t="s">
        <v>20</v>
      </c>
      <c r="J19" s="42" t="s">
        <v>16</v>
      </c>
      <c r="K19" s="42" t="s">
        <v>25</v>
      </c>
    </row>
    <row r="20" spans="1:11" x14ac:dyDescent="0.25">
      <c r="A20" t="s">
        <v>11</v>
      </c>
      <c r="B20" s="41">
        <v>21</v>
      </c>
      <c r="C20" s="41">
        <v>45</v>
      </c>
      <c r="D20" s="41">
        <v>1.57</v>
      </c>
      <c r="E20" s="41">
        <v>160</v>
      </c>
      <c r="F20" s="42" t="s">
        <v>12</v>
      </c>
      <c r="G20" s="42" t="s">
        <v>13</v>
      </c>
      <c r="H20" s="42" t="s">
        <v>26</v>
      </c>
      <c r="I20" s="42" t="s">
        <v>15</v>
      </c>
      <c r="J20" s="42" t="s">
        <v>16</v>
      </c>
      <c r="K20" s="42" t="s">
        <v>17</v>
      </c>
    </row>
    <row r="21" spans="1:11" x14ac:dyDescent="0.25">
      <c r="A21" t="s">
        <v>18</v>
      </c>
      <c r="B21" s="41">
        <v>40</v>
      </c>
      <c r="C21" s="41">
        <v>70</v>
      </c>
      <c r="D21" s="41">
        <v>1.7</v>
      </c>
      <c r="E21" s="41">
        <v>130</v>
      </c>
      <c r="F21" s="42" t="s">
        <v>12</v>
      </c>
      <c r="G21" s="42" t="s">
        <v>13</v>
      </c>
      <c r="H21" s="42" t="s">
        <v>26</v>
      </c>
      <c r="I21" s="42" t="s">
        <v>15</v>
      </c>
      <c r="J21" s="42" t="s">
        <v>27</v>
      </c>
      <c r="K21" s="42" t="s">
        <v>21</v>
      </c>
    </row>
    <row r="22" spans="1:11" x14ac:dyDescent="0.25">
      <c r="A22" t="s">
        <v>11</v>
      </c>
      <c r="B22" s="41">
        <v>21</v>
      </c>
      <c r="C22" s="41">
        <v>45</v>
      </c>
      <c r="D22" s="41">
        <v>1.56</v>
      </c>
      <c r="E22" s="41">
        <v>300</v>
      </c>
      <c r="F22" s="42" t="s">
        <v>12</v>
      </c>
      <c r="G22" s="42" t="s">
        <v>13</v>
      </c>
      <c r="H22" s="42" t="s">
        <v>14</v>
      </c>
      <c r="I22" s="42" t="s">
        <v>15</v>
      </c>
      <c r="J22" s="42" t="s">
        <v>16</v>
      </c>
      <c r="K22" s="42" t="s">
        <v>25</v>
      </c>
    </row>
    <row r="23" spans="1:11" x14ac:dyDescent="0.25">
      <c r="A23" t="s">
        <v>18</v>
      </c>
      <c r="B23" s="41">
        <v>51</v>
      </c>
      <c r="C23" s="41">
        <v>56</v>
      </c>
      <c r="D23" s="41">
        <v>1.53</v>
      </c>
      <c r="E23" s="41">
        <v>380</v>
      </c>
      <c r="F23" s="42" t="s">
        <v>12</v>
      </c>
      <c r="G23" s="42" t="s">
        <v>13</v>
      </c>
      <c r="H23" s="42" t="s">
        <v>14</v>
      </c>
      <c r="I23" s="42" t="s">
        <v>20</v>
      </c>
      <c r="J23" s="42" t="s">
        <v>27</v>
      </c>
      <c r="K23" s="42" t="s">
        <v>25</v>
      </c>
    </row>
    <row r="24" spans="1:11" x14ac:dyDescent="0.25">
      <c r="A24" t="s">
        <v>18</v>
      </c>
      <c r="B24" s="41">
        <v>22</v>
      </c>
      <c r="C24" s="41">
        <v>90</v>
      </c>
      <c r="D24" s="41">
        <v>1.9</v>
      </c>
      <c r="E24" s="41">
        <v>65</v>
      </c>
      <c r="F24" s="42" t="s">
        <v>12</v>
      </c>
      <c r="G24" s="42" t="s">
        <v>13</v>
      </c>
      <c r="H24" s="42" t="s">
        <v>26</v>
      </c>
      <c r="I24" s="42" t="s">
        <v>15</v>
      </c>
      <c r="J24" s="42" t="s">
        <v>16</v>
      </c>
      <c r="K24" s="42" t="s">
        <v>17</v>
      </c>
    </row>
    <row r="25" spans="1:11" x14ac:dyDescent="0.25">
      <c r="A25" t="s">
        <v>18</v>
      </c>
      <c r="B25" s="41">
        <v>68</v>
      </c>
      <c r="C25" s="41">
        <v>75</v>
      </c>
      <c r="D25" s="41">
        <v>1.75</v>
      </c>
      <c r="E25" s="41">
        <v>86</v>
      </c>
      <c r="F25" s="42" t="s">
        <v>34</v>
      </c>
      <c r="G25" s="42" t="s">
        <v>13</v>
      </c>
      <c r="H25" s="42" t="s">
        <v>26</v>
      </c>
      <c r="I25" s="42" t="s">
        <v>15</v>
      </c>
      <c r="J25" s="42" t="s">
        <v>16</v>
      </c>
      <c r="K25" s="42" t="s">
        <v>17</v>
      </c>
    </row>
    <row r="26" spans="1:11" x14ac:dyDescent="0.25">
      <c r="A26" t="s">
        <v>11</v>
      </c>
      <c r="B26" s="41">
        <v>23</v>
      </c>
      <c r="C26" s="41">
        <v>75</v>
      </c>
      <c r="D26" s="41">
        <v>1.53</v>
      </c>
      <c r="E26" s="41">
        <v>90</v>
      </c>
      <c r="F26" s="42" t="s">
        <v>35</v>
      </c>
      <c r="G26" s="42" t="s">
        <v>29</v>
      </c>
      <c r="H26" s="42" t="s">
        <v>14</v>
      </c>
      <c r="I26" s="42" t="s">
        <v>15</v>
      </c>
      <c r="J26" s="42" t="s">
        <v>24</v>
      </c>
      <c r="K26" s="42" t="s">
        <v>25</v>
      </c>
    </row>
    <row r="27" spans="1:11" x14ac:dyDescent="0.25">
      <c r="A27" t="s">
        <v>18</v>
      </c>
      <c r="B27" s="41">
        <v>51</v>
      </c>
      <c r="C27" s="41">
        <v>80</v>
      </c>
      <c r="D27" s="41">
        <v>1.73</v>
      </c>
      <c r="E27" s="41">
        <v>300</v>
      </c>
      <c r="F27" s="42" t="s">
        <v>36</v>
      </c>
      <c r="G27" s="42" t="s">
        <v>29</v>
      </c>
      <c r="H27" s="42" t="s">
        <v>14</v>
      </c>
      <c r="I27" s="42" t="s">
        <v>20</v>
      </c>
      <c r="J27" s="42" t="s">
        <v>24</v>
      </c>
      <c r="K27" s="42" t="s">
        <v>17</v>
      </c>
    </row>
    <row r="28" spans="1:11" x14ac:dyDescent="0.25">
      <c r="A28" t="s">
        <v>11</v>
      </c>
      <c r="B28" s="41">
        <v>22</v>
      </c>
      <c r="C28" s="41">
        <v>89</v>
      </c>
      <c r="D28" s="41">
        <v>1.89</v>
      </c>
      <c r="E28" s="41">
        <v>190</v>
      </c>
      <c r="F28" s="42" t="s">
        <v>37</v>
      </c>
      <c r="G28" s="42" t="s">
        <v>29</v>
      </c>
      <c r="H28" s="42" t="s">
        <v>14</v>
      </c>
      <c r="I28" s="42" t="s">
        <v>15</v>
      </c>
      <c r="J28" s="42" t="s">
        <v>24</v>
      </c>
      <c r="K28" s="42" t="s">
        <v>21</v>
      </c>
    </row>
    <row r="29" spans="1:11" x14ac:dyDescent="0.25">
      <c r="A29" t="s">
        <v>18</v>
      </c>
      <c r="B29" s="41">
        <v>21</v>
      </c>
      <c r="C29" s="41">
        <v>75</v>
      </c>
      <c r="D29" s="41">
        <v>1.72</v>
      </c>
      <c r="E29" s="41">
        <v>340</v>
      </c>
      <c r="F29" s="42" t="s">
        <v>12</v>
      </c>
      <c r="G29" s="42" t="s">
        <v>13</v>
      </c>
      <c r="H29" s="42" t="s">
        <v>14</v>
      </c>
      <c r="I29" s="42" t="s">
        <v>20</v>
      </c>
      <c r="J29" s="42" t="s">
        <v>16</v>
      </c>
      <c r="K29" s="42" t="s">
        <v>25</v>
      </c>
    </row>
    <row r="30" spans="1:11" x14ac:dyDescent="0.25">
      <c r="A30" t="s">
        <v>18</v>
      </c>
      <c r="B30" s="41">
        <v>52</v>
      </c>
      <c r="C30" s="41">
        <v>90</v>
      </c>
      <c r="D30" s="41">
        <v>1.82</v>
      </c>
      <c r="E30" s="41">
        <v>150</v>
      </c>
      <c r="F30" s="42" t="s">
        <v>30</v>
      </c>
      <c r="G30" s="42" t="s">
        <v>13</v>
      </c>
      <c r="H30" s="42" t="s">
        <v>14</v>
      </c>
      <c r="I30" s="42" t="s">
        <v>15</v>
      </c>
      <c r="J30" s="42" t="s">
        <v>24</v>
      </c>
      <c r="K30" s="42" t="s">
        <v>25</v>
      </c>
    </row>
    <row r="31" spans="1:11" x14ac:dyDescent="0.25">
      <c r="A31" t="s">
        <v>18</v>
      </c>
      <c r="B31" s="41">
        <v>21</v>
      </c>
      <c r="C31" s="41">
        <v>60</v>
      </c>
      <c r="D31" s="41">
        <v>1.63</v>
      </c>
      <c r="E31" s="41">
        <v>200</v>
      </c>
      <c r="F31" s="42" t="s">
        <v>30</v>
      </c>
      <c r="G31" s="42" t="s">
        <v>13</v>
      </c>
      <c r="H31" s="42" t="s">
        <v>26</v>
      </c>
      <c r="I31" s="42" t="s">
        <v>15</v>
      </c>
      <c r="J31" s="42" t="s">
        <v>16</v>
      </c>
      <c r="K31" s="42" t="s">
        <v>25</v>
      </c>
    </row>
    <row r="32" spans="1:11" x14ac:dyDescent="0.25">
      <c r="A32" t="s">
        <v>11</v>
      </c>
      <c r="B32" s="41">
        <v>45</v>
      </c>
      <c r="C32" s="41">
        <v>60</v>
      </c>
      <c r="D32" s="41">
        <v>1.6</v>
      </c>
      <c r="E32" s="41">
        <v>190</v>
      </c>
      <c r="F32" s="42" t="s">
        <v>38</v>
      </c>
      <c r="G32" s="42" t="s">
        <v>13</v>
      </c>
      <c r="H32" s="42" t="s">
        <v>14</v>
      </c>
      <c r="I32" s="42" t="s">
        <v>15</v>
      </c>
      <c r="J32" s="42" t="s">
        <v>27</v>
      </c>
      <c r="K32" s="42" t="s">
        <v>17</v>
      </c>
    </row>
    <row r="33" spans="1:11" x14ac:dyDescent="0.25">
      <c r="A33" t="s">
        <v>18</v>
      </c>
      <c r="B33" s="41">
        <v>18</v>
      </c>
      <c r="C33" s="41">
        <v>70</v>
      </c>
      <c r="D33" s="41">
        <v>1.72</v>
      </c>
      <c r="E33" s="41">
        <v>160</v>
      </c>
      <c r="F33" s="42" t="s">
        <v>30</v>
      </c>
      <c r="G33" s="42" t="s">
        <v>13</v>
      </c>
      <c r="H33" s="42" t="s">
        <v>26</v>
      </c>
      <c r="I33" s="42" t="s">
        <v>20</v>
      </c>
      <c r="J33" s="42" t="s">
        <v>24</v>
      </c>
      <c r="K33" s="42" t="s">
        <v>21</v>
      </c>
    </row>
    <row r="34" spans="1:11" x14ac:dyDescent="0.25">
      <c r="A34" t="s">
        <v>18</v>
      </c>
      <c r="B34" s="41">
        <v>22</v>
      </c>
      <c r="C34" s="41">
        <v>58</v>
      </c>
      <c r="D34" s="41">
        <v>1.66</v>
      </c>
      <c r="E34" s="41">
        <v>130</v>
      </c>
      <c r="F34" s="42" t="s">
        <v>12</v>
      </c>
      <c r="G34" s="42" t="s">
        <v>13</v>
      </c>
      <c r="H34" s="42" t="s">
        <v>14</v>
      </c>
      <c r="I34" s="42" t="s">
        <v>15</v>
      </c>
      <c r="J34" s="42" t="s">
        <v>24</v>
      </c>
      <c r="K34" s="42" t="s">
        <v>17</v>
      </c>
    </row>
    <row r="35" spans="1:11" x14ac:dyDescent="0.25">
      <c r="A35" t="s">
        <v>18</v>
      </c>
      <c r="B35" s="41">
        <v>21</v>
      </c>
      <c r="C35" s="41">
        <v>63</v>
      </c>
      <c r="D35" s="41">
        <v>1.58</v>
      </c>
      <c r="E35" s="41">
        <v>350</v>
      </c>
      <c r="F35" s="42" t="s">
        <v>12</v>
      </c>
      <c r="G35" s="42" t="s">
        <v>13</v>
      </c>
      <c r="H35" s="42" t="s">
        <v>26</v>
      </c>
      <c r="I35" s="42" t="s">
        <v>20</v>
      </c>
      <c r="J35" s="42" t="s">
        <v>16</v>
      </c>
      <c r="K35" s="42" t="s">
        <v>17</v>
      </c>
    </row>
    <row r="36" spans="1:11" x14ac:dyDescent="0.25">
      <c r="A36" t="s">
        <v>11</v>
      </c>
      <c r="B36" s="41">
        <v>59</v>
      </c>
      <c r="C36" s="41">
        <v>76</v>
      </c>
      <c r="D36" s="41">
        <v>1.55</v>
      </c>
      <c r="E36" s="41">
        <v>50</v>
      </c>
      <c r="F36" s="42" t="s">
        <v>12</v>
      </c>
      <c r="G36" s="42" t="s">
        <v>13</v>
      </c>
      <c r="H36" s="42" t="s">
        <v>14</v>
      </c>
      <c r="I36" s="42" t="s">
        <v>15</v>
      </c>
      <c r="J36" s="42" t="s">
        <v>27</v>
      </c>
      <c r="K36" s="42" t="s">
        <v>21</v>
      </c>
    </row>
    <row r="37" spans="1:11" x14ac:dyDescent="0.25">
      <c r="A37" t="s">
        <v>18</v>
      </c>
      <c r="B37" s="41">
        <v>19</v>
      </c>
      <c r="C37" s="41">
        <v>70</v>
      </c>
      <c r="D37" s="41">
        <v>1.7</v>
      </c>
      <c r="E37" s="41">
        <v>65</v>
      </c>
      <c r="F37" s="42" t="s">
        <v>39</v>
      </c>
      <c r="G37" s="42" t="s">
        <v>13</v>
      </c>
      <c r="H37" s="42" t="s">
        <v>26</v>
      </c>
      <c r="I37" s="42" t="s">
        <v>15</v>
      </c>
      <c r="J37" s="42" t="s">
        <v>16</v>
      </c>
      <c r="K37" s="42" t="s">
        <v>25</v>
      </c>
    </row>
    <row r="38" spans="1:11" x14ac:dyDescent="0.25">
      <c r="A38" t="s">
        <v>18</v>
      </c>
      <c r="B38" s="41">
        <v>22</v>
      </c>
      <c r="C38" s="41">
        <v>51</v>
      </c>
      <c r="D38" s="41">
        <v>1.55</v>
      </c>
      <c r="E38" s="41">
        <v>86</v>
      </c>
      <c r="F38" s="42" t="s">
        <v>12</v>
      </c>
      <c r="G38" s="42" t="s">
        <v>13</v>
      </c>
      <c r="H38" s="42" t="s">
        <v>14</v>
      </c>
      <c r="I38" s="42" t="s">
        <v>15</v>
      </c>
      <c r="J38" s="42" t="s">
        <v>24</v>
      </c>
      <c r="K38" s="42" t="s">
        <v>17</v>
      </c>
    </row>
    <row r="39" spans="1:11" x14ac:dyDescent="0.25">
      <c r="A39" t="s">
        <v>18</v>
      </c>
      <c r="B39" s="41">
        <v>20</v>
      </c>
      <c r="C39" s="41">
        <v>77</v>
      </c>
      <c r="D39" s="41">
        <v>1.64</v>
      </c>
      <c r="E39" s="41">
        <v>400</v>
      </c>
      <c r="F39" s="42" t="s">
        <v>12</v>
      </c>
      <c r="G39" s="42" t="s">
        <v>13</v>
      </c>
      <c r="H39" s="42" t="s">
        <v>14</v>
      </c>
      <c r="I39" s="42" t="s">
        <v>20</v>
      </c>
      <c r="J39" s="42" t="s">
        <v>24</v>
      </c>
      <c r="K39" s="42" t="s">
        <v>17</v>
      </c>
    </row>
    <row r="40" spans="1:11" x14ac:dyDescent="0.25">
      <c r="A40" t="s">
        <v>11</v>
      </c>
      <c r="B40" s="41">
        <v>20</v>
      </c>
      <c r="C40" s="41">
        <v>67</v>
      </c>
      <c r="D40" s="41">
        <v>1.74</v>
      </c>
      <c r="E40" s="41">
        <v>100</v>
      </c>
      <c r="F40" s="42" t="s">
        <v>12</v>
      </c>
      <c r="G40" s="42" t="s">
        <v>13</v>
      </c>
      <c r="H40" s="42" t="s">
        <v>14</v>
      </c>
      <c r="I40" s="42" t="s">
        <v>15</v>
      </c>
      <c r="J40" s="42" t="s">
        <v>27</v>
      </c>
      <c r="K40" s="42" t="s">
        <v>21</v>
      </c>
    </row>
    <row r="41" spans="1:11" x14ac:dyDescent="0.25">
      <c r="A41" t="s">
        <v>18</v>
      </c>
      <c r="B41" s="41">
        <v>21</v>
      </c>
      <c r="C41" s="41">
        <v>58</v>
      </c>
      <c r="D41" s="41">
        <v>1.63</v>
      </c>
      <c r="E41" s="41">
        <v>190</v>
      </c>
      <c r="F41" s="42" t="s">
        <v>40</v>
      </c>
      <c r="G41" s="42" t="s">
        <v>13</v>
      </c>
      <c r="H41" s="42" t="s">
        <v>14</v>
      </c>
      <c r="I41" s="42" t="s">
        <v>20</v>
      </c>
      <c r="J41" s="42" t="s">
        <v>16</v>
      </c>
      <c r="K41" s="42" t="s">
        <v>25</v>
      </c>
    </row>
    <row r="42" spans="1:11" x14ac:dyDescent="0.25">
      <c r="A42" t="s">
        <v>18</v>
      </c>
      <c r="B42" s="41">
        <v>26</v>
      </c>
      <c r="C42" s="41">
        <v>93</v>
      </c>
      <c r="D42" s="41">
        <v>1.83</v>
      </c>
      <c r="E42" s="41">
        <v>350</v>
      </c>
      <c r="F42" s="42" t="s">
        <v>40</v>
      </c>
      <c r="G42" s="42" t="s">
        <v>13</v>
      </c>
      <c r="H42" s="42" t="s">
        <v>26</v>
      </c>
      <c r="I42" s="42" t="s">
        <v>15</v>
      </c>
      <c r="J42" s="42" t="s">
        <v>24</v>
      </c>
      <c r="K42" s="42" t="s">
        <v>25</v>
      </c>
    </row>
    <row r="43" spans="1:11" x14ac:dyDescent="0.25">
      <c r="A43" t="s">
        <v>18</v>
      </c>
      <c r="B43" s="41">
        <v>26</v>
      </c>
      <c r="C43" s="41">
        <v>80</v>
      </c>
      <c r="D43" s="41">
        <v>1.73</v>
      </c>
      <c r="E43" s="41">
        <v>280</v>
      </c>
      <c r="F43" s="42" t="s">
        <v>30</v>
      </c>
      <c r="G43" s="42" t="s">
        <v>13</v>
      </c>
      <c r="H43" s="42" t="s">
        <v>14</v>
      </c>
      <c r="I43" s="42" t="s">
        <v>20</v>
      </c>
      <c r="J43" s="42" t="s">
        <v>24</v>
      </c>
      <c r="K43" s="42" t="s">
        <v>25</v>
      </c>
    </row>
    <row r="44" spans="1:11" x14ac:dyDescent="0.25">
      <c r="A44" t="s">
        <v>11</v>
      </c>
      <c r="B44" s="41">
        <v>19</v>
      </c>
      <c r="C44" s="41">
        <v>81</v>
      </c>
      <c r="D44" s="41">
        <v>1.82</v>
      </c>
      <c r="E44" s="41">
        <v>110</v>
      </c>
      <c r="F44" s="42" t="s">
        <v>41</v>
      </c>
      <c r="G44" s="42" t="s">
        <v>13</v>
      </c>
      <c r="H44" s="42" t="s">
        <v>26</v>
      </c>
      <c r="I44" s="42" t="s">
        <v>15</v>
      </c>
      <c r="J44" s="42" t="s">
        <v>33</v>
      </c>
      <c r="K44" s="42" t="s">
        <v>17</v>
      </c>
    </row>
    <row r="45" spans="1:11" x14ac:dyDescent="0.25">
      <c r="A45" t="s">
        <v>18</v>
      </c>
      <c r="B45" s="41">
        <v>25</v>
      </c>
      <c r="C45" s="41">
        <v>90</v>
      </c>
      <c r="D45" s="41">
        <v>1.81</v>
      </c>
      <c r="E45" s="41">
        <v>50</v>
      </c>
      <c r="F45" s="42" t="s">
        <v>42</v>
      </c>
      <c r="G45" s="42" t="s">
        <v>13</v>
      </c>
      <c r="H45" s="42" t="s">
        <v>26</v>
      </c>
      <c r="I45" s="42" t="s">
        <v>15</v>
      </c>
      <c r="J45" s="42" t="s">
        <v>27</v>
      </c>
      <c r="K45" s="42" t="s">
        <v>17</v>
      </c>
    </row>
    <row r="46" spans="1:11" x14ac:dyDescent="0.25">
      <c r="A46" t="s">
        <v>18</v>
      </c>
      <c r="B46" s="41">
        <v>22</v>
      </c>
      <c r="C46" s="41">
        <v>71</v>
      </c>
      <c r="D46" s="41">
        <v>1.61</v>
      </c>
      <c r="E46" s="41">
        <v>65</v>
      </c>
      <c r="F46" s="42" t="s">
        <v>12</v>
      </c>
      <c r="G46" s="42" t="s">
        <v>13</v>
      </c>
      <c r="H46" s="42" t="s">
        <v>26</v>
      </c>
      <c r="I46" s="42" t="s">
        <v>15</v>
      </c>
      <c r="J46" s="42" t="s">
        <v>16</v>
      </c>
      <c r="K46" s="42" t="s">
        <v>25</v>
      </c>
    </row>
    <row r="47" spans="1:11" x14ac:dyDescent="0.25">
      <c r="A47" t="s">
        <v>18</v>
      </c>
      <c r="B47" s="41">
        <v>50</v>
      </c>
      <c r="C47" s="41">
        <v>80</v>
      </c>
      <c r="D47" s="41">
        <v>1.7</v>
      </c>
      <c r="E47" s="41">
        <v>86</v>
      </c>
      <c r="F47" s="42" t="s">
        <v>12</v>
      </c>
      <c r="G47" s="42" t="s">
        <v>13</v>
      </c>
      <c r="H47" s="42" t="s">
        <v>14</v>
      </c>
      <c r="I47" s="42" t="s">
        <v>20</v>
      </c>
      <c r="J47" s="42" t="s">
        <v>24</v>
      </c>
      <c r="K47" s="42" t="s">
        <v>17</v>
      </c>
    </row>
    <row r="48" spans="1:11" x14ac:dyDescent="0.25">
      <c r="A48" t="s">
        <v>11</v>
      </c>
      <c r="B48" s="41">
        <v>22</v>
      </c>
      <c r="C48" s="41">
        <v>52</v>
      </c>
      <c r="D48" s="41">
        <v>1.58</v>
      </c>
      <c r="E48" s="41">
        <v>90</v>
      </c>
      <c r="F48" s="42" t="s">
        <v>12</v>
      </c>
      <c r="G48" s="42" t="s">
        <v>13</v>
      </c>
      <c r="H48" s="42" t="s">
        <v>14</v>
      </c>
      <c r="I48" s="42" t="s">
        <v>15</v>
      </c>
      <c r="J48" s="42" t="s">
        <v>24</v>
      </c>
      <c r="K48" s="42" t="s">
        <v>21</v>
      </c>
    </row>
    <row r="49" spans="1:11" x14ac:dyDescent="0.25">
      <c r="A49" t="s">
        <v>18</v>
      </c>
      <c r="B49" s="41">
        <v>47</v>
      </c>
      <c r="C49" s="41">
        <v>70</v>
      </c>
      <c r="D49" s="41">
        <v>1.71</v>
      </c>
      <c r="E49" s="41">
        <v>320</v>
      </c>
      <c r="F49" s="42" t="s">
        <v>12</v>
      </c>
      <c r="G49" s="42" t="s">
        <v>13</v>
      </c>
      <c r="H49" s="42" t="s">
        <v>26</v>
      </c>
      <c r="I49" s="42" t="s">
        <v>20</v>
      </c>
      <c r="J49" s="42" t="s">
        <v>24</v>
      </c>
      <c r="K49" s="42" t="s">
        <v>25</v>
      </c>
    </row>
    <row r="50" spans="1:11" x14ac:dyDescent="0.25">
      <c r="A50" t="s">
        <v>18</v>
      </c>
      <c r="B50" s="41">
        <v>45</v>
      </c>
      <c r="C50" s="41">
        <v>56</v>
      </c>
      <c r="D50" s="41">
        <v>1.55</v>
      </c>
      <c r="E50" s="41">
        <v>190</v>
      </c>
      <c r="F50" s="42" t="s">
        <v>12</v>
      </c>
      <c r="G50" s="42" t="s">
        <v>13</v>
      </c>
      <c r="H50" s="42" t="s">
        <v>14</v>
      </c>
      <c r="I50" s="42" t="s">
        <v>15</v>
      </c>
      <c r="J50" s="42" t="s">
        <v>16</v>
      </c>
      <c r="K50" s="42" t="s">
        <v>25</v>
      </c>
    </row>
    <row r="51" spans="1:11" x14ac:dyDescent="0.25">
      <c r="A51" t="s">
        <v>18</v>
      </c>
      <c r="B51" s="41">
        <v>21</v>
      </c>
      <c r="C51" s="41">
        <v>81</v>
      </c>
      <c r="D51" s="41">
        <v>1.69</v>
      </c>
      <c r="E51" s="41">
        <v>150</v>
      </c>
      <c r="F51" s="42" t="s">
        <v>12</v>
      </c>
      <c r="G51" s="42" t="s">
        <v>13</v>
      </c>
      <c r="H51" s="42" t="s">
        <v>26</v>
      </c>
      <c r="I51" s="42" t="s">
        <v>15</v>
      </c>
      <c r="J51" s="42" t="s">
        <v>24</v>
      </c>
      <c r="K51" s="42" t="s">
        <v>17</v>
      </c>
    </row>
    <row r="52" spans="1:11" x14ac:dyDescent="0.25">
      <c r="A52" t="s">
        <v>18</v>
      </c>
      <c r="B52" s="41">
        <v>62</v>
      </c>
      <c r="C52" s="41">
        <v>68</v>
      </c>
      <c r="D52" s="41">
        <v>1.65</v>
      </c>
      <c r="E52" s="41">
        <v>140</v>
      </c>
      <c r="F52" s="42" t="s">
        <v>12</v>
      </c>
      <c r="G52" s="42" t="s">
        <v>13</v>
      </c>
      <c r="H52" s="42" t="s">
        <v>14</v>
      </c>
      <c r="I52" s="42" t="s">
        <v>15</v>
      </c>
      <c r="J52" s="42" t="s">
        <v>27</v>
      </c>
      <c r="K52" s="42" t="s">
        <v>21</v>
      </c>
    </row>
    <row r="53" spans="1:11" x14ac:dyDescent="0.25">
      <c r="A53" t="s">
        <v>18</v>
      </c>
      <c r="B53" s="41">
        <v>26</v>
      </c>
      <c r="C53" s="41">
        <v>78</v>
      </c>
      <c r="D53" s="41">
        <v>1.73</v>
      </c>
      <c r="E53" s="41">
        <v>198</v>
      </c>
      <c r="F53" s="42" t="s">
        <v>12</v>
      </c>
      <c r="G53" s="42" t="s">
        <v>13</v>
      </c>
      <c r="H53" s="42" t="s">
        <v>26</v>
      </c>
      <c r="I53" s="42" t="s">
        <v>20</v>
      </c>
      <c r="J53" s="42" t="s">
        <v>16</v>
      </c>
      <c r="K53" s="42" t="s">
        <v>25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Listas!$A$1:$A$2</xm:f>
          </x14:formula1>
          <x14:formula2>
            <xm:f>0</xm:f>
          </x14:formula2>
          <xm:sqref>A2:A53</xm:sqref>
        </x14:dataValidation>
        <x14:dataValidation type="list" allowBlank="1" showInputMessage="1" showErrorMessage="1" xr:uid="{00000000-0002-0000-0000-000001000000}">
          <x14:formula1>
            <xm:f>Listas!$C$1:$C$2</xm:f>
          </x14:formula1>
          <x14:formula2>
            <xm:f>0</xm:f>
          </x14:formula2>
          <xm:sqref>H2:H53</xm:sqref>
        </x14:dataValidation>
        <x14:dataValidation type="list" allowBlank="1" showInputMessage="1" showErrorMessage="1" xr:uid="{00000000-0002-0000-0000-000002000000}">
          <x14:formula1>
            <xm:f>Listas!$D$1:$D$2</xm:f>
          </x14:formula1>
          <x14:formula2>
            <xm:f>0</xm:f>
          </x14:formula2>
          <xm:sqref>I2:I53</xm:sqref>
        </x14:dataValidation>
        <x14:dataValidation type="list" allowBlank="1" showInputMessage="1" showErrorMessage="1" xr:uid="{00000000-0002-0000-0000-000003000000}">
          <x14:formula1>
            <xm:f>Listas!$E$1:$E$4</xm:f>
          </x14:formula1>
          <x14:formula2>
            <xm:f>0</xm:f>
          </x14:formula2>
          <xm:sqref>J2:J53</xm:sqref>
        </x14:dataValidation>
        <x14:dataValidation type="list" allowBlank="1" showInputMessage="1" showErrorMessage="1" xr:uid="{00000000-0002-0000-0000-000004000000}">
          <x14:formula1>
            <xm:f>Listas!$F$1:$F$3</xm:f>
          </x14:formula1>
          <x14:formula2>
            <xm:f>0</xm:f>
          </x14:formula2>
          <xm:sqref>K2:K53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1" sqref="E1"/>
    </sheetView>
  </sheetViews>
  <sheetFormatPr defaultColWidth="8.7109375" defaultRowHeight="15" x14ac:dyDescent="0.25"/>
  <cols>
    <col min="4" max="4" width="12.5703125" customWidth="1"/>
    <col min="5" max="5" width="16.28515625" customWidth="1"/>
  </cols>
  <sheetData>
    <row r="1" spans="1:6" x14ac:dyDescent="0.25">
      <c r="A1" t="s">
        <v>11</v>
      </c>
      <c r="B1" t="s">
        <v>13</v>
      </c>
      <c r="C1" t="s">
        <v>14</v>
      </c>
      <c r="D1" t="s">
        <v>15</v>
      </c>
      <c r="E1" t="s">
        <v>24</v>
      </c>
      <c r="F1" t="s">
        <v>17</v>
      </c>
    </row>
    <row r="2" spans="1:6" x14ac:dyDescent="0.25">
      <c r="A2" t="s">
        <v>18</v>
      </c>
      <c r="B2" t="s">
        <v>23</v>
      </c>
      <c r="C2" t="s">
        <v>26</v>
      </c>
      <c r="D2" t="s">
        <v>20</v>
      </c>
      <c r="E2" t="s">
        <v>27</v>
      </c>
      <c r="F2" t="s">
        <v>21</v>
      </c>
    </row>
    <row r="3" spans="1:6" x14ac:dyDescent="0.25">
      <c r="B3" t="s">
        <v>29</v>
      </c>
      <c r="E3" t="s">
        <v>16</v>
      </c>
      <c r="F3" t="s">
        <v>25</v>
      </c>
    </row>
    <row r="4" spans="1:6" x14ac:dyDescent="0.25">
      <c r="E4" t="s">
        <v>33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"/>
  <sheetViews>
    <sheetView zoomScale="130" zoomScaleNormal="130" workbookViewId="0">
      <selection activeCell="C4" sqref="C4"/>
    </sheetView>
  </sheetViews>
  <sheetFormatPr defaultColWidth="11.5703125" defaultRowHeight="15" x14ac:dyDescent="0.25"/>
  <cols>
    <col min="2" max="2" width="19.42578125" customWidth="1"/>
  </cols>
  <sheetData>
    <row r="2" spans="2:4" ht="27" customHeight="1" thickBot="1" x14ac:dyDescent="0.3">
      <c r="B2" s="45" t="s">
        <v>65</v>
      </c>
      <c r="C2" s="45"/>
      <c r="D2" s="45"/>
    </row>
    <row r="3" spans="2:4" ht="16.5" thickTop="1" thickBot="1" x14ac:dyDescent="0.3">
      <c r="B3" s="38" t="s">
        <v>9</v>
      </c>
      <c r="C3" s="39" t="s">
        <v>48</v>
      </c>
      <c r="D3" s="39" t="s">
        <v>50</v>
      </c>
    </row>
    <row r="4" spans="2:4" ht="15.75" thickTop="1" x14ac:dyDescent="0.25">
      <c r="B4" s="40" t="s">
        <v>27</v>
      </c>
      <c r="C4" s="40">
        <f>COUNTIF(DadosBrutos!J:J,Tabela_Freq_Álcool!B4)</f>
        <v>13</v>
      </c>
      <c r="D4" s="52">
        <f>C4/$C$8</f>
        <v>0.25</v>
      </c>
    </row>
    <row r="5" spans="2:4" x14ac:dyDescent="0.25">
      <c r="B5" s="40" t="s">
        <v>16</v>
      </c>
      <c r="C5" s="40">
        <f>COUNTIF(DadosBrutos!J:J,Tabela_Freq_Álcool!B5)</f>
        <v>19</v>
      </c>
      <c r="D5" s="52">
        <f t="shared" ref="D5:D7" si="0">C5/$C$8</f>
        <v>0.36538461538461536</v>
      </c>
    </row>
    <row r="6" spans="2:4" x14ac:dyDescent="0.25">
      <c r="B6" s="40" t="s">
        <v>24</v>
      </c>
      <c r="C6" s="40">
        <f>COUNTIF(DadosBrutos!J:J,Tabela_Freq_Álcool!B6)</f>
        <v>18</v>
      </c>
      <c r="D6" s="52">
        <f t="shared" si="0"/>
        <v>0.34615384615384615</v>
      </c>
    </row>
    <row r="7" spans="2:4" ht="15.75" thickBot="1" x14ac:dyDescent="0.3">
      <c r="B7" s="40" t="s">
        <v>33</v>
      </c>
      <c r="C7" s="40">
        <f>COUNTIF(DadosBrutos!J:J,Tabela_Freq_Álcool!B7)</f>
        <v>2</v>
      </c>
      <c r="D7" s="52">
        <f t="shared" si="0"/>
        <v>3.8461538461538464E-2</v>
      </c>
    </row>
    <row r="8" spans="2:4" ht="16.5" thickTop="1" thickBot="1" x14ac:dyDescent="0.3">
      <c r="B8" s="38" t="s">
        <v>59</v>
      </c>
      <c r="C8" s="38">
        <f>SUM(C4:C7)</f>
        <v>52</v>
      </c>
      <c r="D8" s="53">
        <f>C8/$C$8</f>
        <v>1</v>
      </c>
    </row>
    <row r="9" spans="2:4" ht="15.75" thickTop="1" x14ac:dyDescent="0.25"/>
  </sheetData>
  <mergeCells count="1">
    <mergeCell ref="B2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1:Z44"/>
  <sheetViews>
    <sheetView showGridLines="0" zoomScaleNormal="100" workbookViewId="0">
      <selection activeCell="K11" sqref="K11"/>
    </sheetView>
  </sheetViews>
  <sheetFormatPr defaultColWidth="9.140625" defaultRowHeight="15" x14ac:dyDescent="0.25"/>
  <cols>
    <col min="1" max="1" width="2.85546875" style="2" customWidth="1"/>
    <col min="2" max="2" width="27.5703125" style="2" customWidth="1"/>
    <col min="3" max="3" width="12" style="2" customWidth="1"/>
    <col min="4" max="5" width="11.85546875" style="2" customWidth="1"/>
    <col min="6" max="6" width="4" style="2" customWidth="1"/>
    <col min="7" max="7" width="5.42578125" style="2" customWidth="1"/>
    <col min="8" max="8" width="1.7109375" style="2" customWidth="1"/>
    <col min="9" max="9" width="6" style="2" customWidth="1"/>
    <col min="10" max="13" width="9.7109375" style="2" customWidth="1"/>
    <col min="14" max="14" width="12.140625" style="2" customWidth="1"/>
    <col min="15" max="15" width="12.5703125" style="2" bestFit="1" customWidth="1"/>
    <col min="16" max="16" width="12.42578125" style="2" customWidth="1"/>
    <col min="17" max="19" width="9.140625" style="2"/>
    <col min="20" max="20" width="9.140625" style="3"/>
    <col min="21" max="16384" width="9.140625" style="2"/>
  </cols>
  <sheetData>
    <row r="1" spans="2:26" x14ac:dyDescent="0.25">
      <c r="S1" s="4"/>
    </row>
    <row r="2" spans="2:26" x14ac:dyDescent="0.25">
      <c r="B2" s="47" t="s">
        <v>43</v>
      </c>
      <c r="C2" s="47"/>
      <c r="G2" s="47" t="s">
        <v>44</v>
      </c>
      <c r="H2" s="47"/>
      <c r="I2" s="47"/>
      <c r="J2" s="47"/>
      <c r="K2" s="47"/>
      <c r="L2" s="47"/>
      <c r="M2" s="47"/>
      <c r="Q2" s="4"/>
      <c r="S2" s="4"/>
    </row>
    <row r="3" spans="2:26" ht="30" customHeight="1" x14ac:dyDescent="0.25">
      <c r="B3" s="5" t="s">
        <v>45</v>
      </c>
      <c r="C3" s="6">
        <f>MIN(DadosBrutos!D2:D53)</f>
        <v>1.5</v>
      </c>
      <c r="D3"/>
      <c r="E3"/>
      <c r="G3" s="48" t="s">
        <v>66</v>
      </c>
      <c r="H3" s="48"/>
      <c r="I3" s="48"/>
      <c r="J3" s="48"/>
      <c r="K3" s="48"/>
      <c r="L3" s="48"/>
      <c r="M3" s="48"/>
      <c r="O3" s="36" t="s">
        <v>64</v>
      </c>
      <c r="P3" s="36" t="s">
        <v>48</v>
      </c>
      <c r="Q3" s="4"/>
      <c r="S3" s="4"/>
    </row>
    <row r="4" spans="2:26" ht="30" customHeight="1" x14ac:dyDescent="0.25">
      <c r="B4" s="5" t="s">
        <v>46</v>
      </c>
      <c r="C4" s="6">
        <f>MAX(DadosBrutos!D2:D53)</f>
        <v>1.9</v>
      </c>
      <c r="D4"/>
      <c r="E4"/>
      <c r="G4" s="49" t="s">
        <v>47</v>
      </c>
      <c r="H4" s="49"/>
      <c r="I4" s="49"/>
      <c r="J4" s="7" t="s">
        <v>48</v>
      </c>
      <c r="K4" s="7" t="s">
        <v>49</v>
      </c>
      <c r="L4" s="7" t="s">
        <v>50</v>
      </c>
      <c r="M4" s="8" t="s">
        <v>51</v>
      </c>
      <c r="O4" s="36"/>
      <c r="P4" s="36"/>
      <c r="Q4" s="4"/>
      <c r="S4" s="4"/>
    </row>
    <row r="5" spans="2:26" ht="30" customHeight="1" x14ac:dyDescent="0.25">
      <c r="B5" s="9" t="s">
        <v>52</v>
      </c>
      <c r="C5" s="6">
        <f>C4-C3</f>
        <v>0.39999999999999991</v>
      </c>
      <c r="G5" s="10">
        <f>C3</f>
        <v>1.5</v>
      </c>
      <c r="H5" s="11" t="s">
        <v>53</v>
      </c>
      <c r="I5" s="10">
        <f t="shared" ref="I5:I11" si="0">G5+($C$13-0.01)</f>
        <v>1.55</v>
      </c>
      <c r="J5" s="12">
        <f>COUNTIF(DadosBrutos!$D$2:$D$53,"&lt;="&amp;I5)</f>
        <v>7</v>
      </c>
      <c r="K5" s="12">
        <f>J5</f>
        <v>7</v>
      </c>
      <c r="L5" s="13">
        <f t="shared" ref="L5:L11" si="1">J5/$J$12</f>
        <v>0.13461538461538461</v>
      </c>
      <c r="M5" s="14">
        <f>L5</f>
        <v>0.13461538461538461</v>
      </c>
      <c r="O5" s="37">
        <f>(G5+I5)/2</f>
        <v>1.5249999999999999</v>
      </c>
      <c r="P5" s="37">
        <f>J5</f>
        <v>7</v>
      </c>
      <c r="Q5" s="4"/>
      <c r="S5" s="4"/>
    </row>
    <row r="6" spans="2:26" ht="30" customHeight="1" x14ac:dyDescent="0.25">
      <c r="B6" s="15" t="s">
        <v>54</v>
      </c>
      <c r="C6" s="16">
        <f>COUNT(DadosBrutos!D2:D53)</f>
        <v>52</v>
      </c>
      <c r="G6" s="10">
        <f t="shared" ref="G6:G11" si="2">G5+$C$13</f>
        <v>1.56</v>
      </c>
      <c r="H6" s="11" t="s">
        <v>53</v>
      </c>
      <c r="I6" s="10">
        <f t="shared" si="0"/>
        <v>1.61</v>
      </c>
      <c r="J6" s="12">
        <f>COUNTIFS(DadosBrutos!$D$2:$D$53,"&gt;="&amp;G6,DadosBrutos!$D$2:$D$53,"&lt;="&amp;I6)</f>
        <v>9</v>
      </c>
      <c r="K6" s="12">
        <f>K5+J6</f>
        <v>16</v>
      </c>
      <c r="L6" s="13">
        <f t="shared" si="1"/>
        <v>0.17307692307692307</v>
      </c>
      <c r="M6" s="14">
        <f t="shared" ref="M6:M11" si="3">M5+L6</f>
        <v>0.30769230769230771</v>
      </c>
      <c r="O6" s="37">
        <f t="shared" ref="O6:O11" si="4">(G6+I6)/2</f>
        <v>1.585</v>
      </c>
      <c r="P6" s="37">
        <f t="shared" ref="P6:P11" si="5">J6</f>
        <v>9</v>
      </c>
      <c r="Q6" s="4"/>
      <c r="S6" s="4"/>
      <c r="U6" s="4"/>
      <c r="V6" s="4"/>
      <c r="W6" s="4"/>
      <c r="X6" s="4"/>
      <c r="Y6" s="4"/>
      <c r="Z6" s="4"/>
    </row>
    <row r="7" spans="2:26" ht="30" customHeight="1" x14ac:dyDescent="0.25">
      <c r="G7" s="10">
        <f t="shared" si="2"/>
        <v>1.62</v>
      </c>
      <c r="H7" s="11" t="s">
        <v>53</v>
      </c>
      <c r="I7" s="10">
        <f t="shared" si="0"/>
        <v>1.6700000000000002</v>
      </c>
      <c r="J7" s="12">
        <f>COUNTIFS(DadosBrutos!$D$2:$D$53,"&gt;="&amp;G7,DadosBrutos!$D$2:$D$53,"&lt;="&amp;I7)</f>
        <v>9</v>
      </c>
      <c r="K7" s="12">
        <f>J7+K6</f>
        <v>25</v>
      </c>
      <c r="L7" s="13">
        <f t="shared" si="1"/>
        <v>0.17307692307692307</v>
      </c>
      <c r="M7" s="14">
        <f t="shared" si="3"/>
        <v>0.48076923076923078</v>
      </c>
      <c r="O7" s="37">
        <f t="shared" si="4"/>
        <v>1.645</v>
      </c>
      <c r="P7" s="37">
        <f t="shared" si="5"/>
        <v>9</v>
      </c>
      <c r="Q7" s="4"/>
      <c r="U7" s="4"/>
      <c r="V7" s="4"/>
      <c r="W7" s="4"/>
      <c r="X7" s="4"/>
      <c r="Y7" s="4"/>
      <c r="Z7" s="4"/>
    </row>
    <row r="8" spans="2:26" ht="30" customHeight="1" x14ac:dyDescent="0.25">
      <c r="B8" s="47" t="s">
        <v>55</v>
      </c>
      <c r="C8" s="47"/>
      <c r="D8" s="47"/>
      <c r="E8" s="17"/>
      <c r="G8" s="10">
        <f t="shared" si="2"/>
        <v>1.6800000000000002</v>
      </c>
      <c r="H8" s="11" t="s">
        <v>53</v>
      </c>
      <c r="I8" s="10">
        <f t="shared" si="0"/>
        <v>1.7300000000000002</v>
      </c>
      <c r="J8" s="12">
        <f>COUNTIFS(DadosBrutos!$D$2:$D$53,"&gt;="&amp;G8,DadosBrutos!$D$2:$D$53,"&lt;="&amp;I8)</f>
        <v>16</v>
      </c>
      <c r="K8" s="12">
        <f>K7+J8</f>
        <v>41</v>
      </c>
      <c r="L8" s="13">
        <f t="shared" si="1"/>
        <v>0.30769230769230771</v>
      </c>
      <c r="M8" s="14">
        <f t="shared" si="3"/>
        <v>0.78846153846153855</v>
      </c>
      <c r="O8" s="37">
        <f t="shared" si="4"/>
        <v>1.7050000000000001</v>
      </c>
      <c r="P8" s="37">
        <f t="shared" si="5"/>
        <v>16</v>
      </c>
      <c r="Q8" s="4"/>
      <c r="U8" s="4"/>
      <c r="V8" s="4"/>
      <c r="W8" s="4"/>
      <c r="X8" s="4"/>
      <c r="Y8" s="4"/>
      <c r="Z8" s="4"/>
    </row>
    <row r="9" spans="2:26" ht="30" customHeight="1" x14ac:dyDescent="0.25">
      <c r="B9" s="18" t="s">
        <v>56</v>
      </c>
      <c r="C9" s="18" t="s">
        <v>57</v>
      </c>
      <c r="D9" s="18" t="s">
        <v>58</v>
      </c>
      <c r="E9" s="19"/>
      <c r="G9" s="10">
        <f t="shared" si="2"/>
        <v>1.7400000000000002</v>
      </c>
      <c r="H9" s="11" t="s">
        <v>53</v>
      </c>
      <c r="I9" s="10">
        <f t="shared" si="0"/>
        <v>1.7900000000000003</v>
      </c>
      <c r="J9" s="12">
        <f>COUNTIFS(DadosBrutos!$D$2:$D$53,"&gt;="&amp;G9,DadosBrutos!$D$2:$D$53,"&lt;="&amp;I9)</f>
        <v>4</v>
      </c>
      <c r="K9" s="12">
        <f>J9+K8</f>
        <v>45</v>
      </c>
      <c r="L9" s="13">
        <f t="shared" si="1"/>
        <v>7.6923076923076927E-2</v>
      </c>
      <c r="M9" s="14">
        <f t="shared" si="3"/>
        <v>0.86538461538461542</v>
      </c>
      <c r="O9" s="37">
        <f t="shared" si="4"/>
        <v>1.7650000000000001</v>
      </c>
      <c r="P9" s="37">
        <f t="shared" si="5"/>
        <v>4</v>
      </c>
      <c r="Q9" s="4"/>
      <c r="U9" s="4"/>
      <c r="V9" s="4"/>
      <c r="W9" s="4"/>
      <c r="X9" s="4"/>
      <c r="Y9" s="4"/>
      <c r="Z9" s="4"/>
    </row>
    <row r="10" spans="2:26" ht="30" customHeight="1" x14ac:dyDescent="0.25">
      <c r="B10" s="12">
        <v>4</v>
      </c>
      <c r="C10" s="12">
        <f>ROUNDUP((($C$5+0.01)/B10),2)</f>
        <v>0.11</v>
      </c>
      <c r="D10" s="12">
        <f>(B10*C10)-($C$5+0.01)</f>
        <v>3.0000000000000082E-2</v>
      </c>
      <c r="G10" s="10">
        <f t="shared" si="2"/>
        <v>1.8000000000000003</v>
      </c>
      <c r="H10" s="11" t="s">
        <v>53</v>
      </c>
      <c r="I10" s="10">
        <f t="shared" si="0"/>
        <v>1.8500000000000003</v>
      </c>
      <c r="J10" s="12">
        <f>COUNTIFS(DadosBrutos!$D$2:$D$53,"&gt;="&amp;G10,DadosBrutos!$D$2:$D$53,"&lt;="&amp;I10)</f>
        <v>5</v>
      </c>
      <c r="K10" s="12">
        <f>K9+J10</f>
        <v>50</v>
      </c>
      <c r="L10" s="13">
        <f t="shared" si="1"/>
        <v>9.6153846153846159E-2</v>
      </c>
      <c r="M10" s="14">
        <f t="shared" si="3"/>
        <v>0.96153846153846156</v>
      </c>
      <c r="O10" s="37">
        <f t="shared" si="4"/>
        <v>1.8250000000000002</v>
      </c>
      <c r="P10" s="37">
        <f t="shared" si="5"/>
        <v>5</v>
      </c>
      <c r="Q10" s="4"/>
      <c r="U10" s="4"/>
      <c r="V10" s="4"/>
      <c r="W10" s="4"/>
      <c r="X10" s="4"/>
      <c r="Y10" s="4"/>
      <c r="Z10" s="4"/>
    </row>
    <row r="11" spans="2:26" ht="30" customHeight="1" x14ac:dyDescent="0.25">
      <c r="B11" s="12">
        <v>5</v>
      </c>
      <c r="C11" s="12">
        <f>ROUNDUP((($C$5+0.01)/B11),2)</f>
        <v>0.09</v>
      </c>
      <c r="D11" s="12">
        <f>(B11*C11)-($C$5+0.01)</f>
        <v>4.0000000000000036E-2</v>
      </c>
      <c r="G11" s="10">
        <f t="shared" si="2"/>
        <v>1.8600000000000003</v>
      </c>
      <c r="H11" s="2" t="s">
        <v>53</v>
      </c>
      <c r="I11" s="10">
        <f t="shared" si="0"/>
        <v>1.9100000000000004</v>
      </c>
      <c r="J11" s="12">
        <f>COUNTIFS(DadosBrutos!$D$2:$D$53,"&gt;="&amp;G11,DadosBrutos!$D$2:$D$53,"&lt;="&amp;I11)</f>
        <v>2</v>
      </c>
      <c r="K11" s="12">
        <f>K10+J11</f>
        <v>52</v>
      </c>
      <c r="L11" s="13">
        <f t="shared" si="1"/>
        <v>3.8461538461538464E-2</v>
      </c>
      <c r="M11" s="14">
        <f t="shared" si="3"/>
        <v>1</v>
      </c>
      <c r="O11" s="37">
        <f t="shared" si="4"/>
        <v>1.8850000000000002</v>
      </c>
      <c r="P11" s="37">
        <f t="shared" si="5"/>
        <v>2</v>
      </c>
      <c r="U11" s="4"/>
      <c r="V11" s="4"/>
      <c r="W11" s="4"/>
      <c r="X11" s="4"/>
      <c r="Y11" s="4"/>
      <c r="Z11" s="4"/>
    </row>
    <row r="12" spans="2:26" ht="30" customHeight="1" x14ac:dyDescent="0.25">
      <c r="B12" s="12">
        <v>6</v>
      </c>
      <c r="C12" s="12">
        <f>ROUNDUP((($C$5+0.01)/B12),2)</f>
        <v>6.9999999999999993E-2</v>
      </c>
      <c r="D12" s="12">
        <f>(B12*C12)-($C$5+0.01)</f>
        <v>1.0000000000000009E-2</v>
      </c>
      <c r="G12" s="46" t="s">
        <v>59</v>
      </c>
      <c r="H12" s="46"/>
      <c r="I12" s="46"/>
      <c r="J12" s="20">
        <f>SUM(J5:J11)</f>
        <v>52</v>
      </c>
      <c r="K12" s="20" t="s">
        <v>53</v>
      </c>
      <c r="L12" s="21">
        <f>SUM(L5:L11)</f>
        <v>1</v>
      </c>
      <c r="M12" s="20" t="s">
        <v>53</v>
      </c>
      <c r="O12" s="37"/>
      <c r="P12" s="37"/>
      <c r="U12" s="4"/>
      <c r="V12" s="4"/>
      <c r="W12" s="4"/>
      <c r="X12" s="4"/>
      <c r="Y12" s="4"/>
      <c r="Z12" s="4"/>
    </row>
    <row r="13" spans="2:26" ht="30" customHeight="1" x14ac:dyDescent="0.25">
      <c r="B13" s="22">
        <v>7</v>
      </c>
      <c r="C13" s="22">
        <f>ROUNDUP((($C$5+0.01)/B13),2)</f>
        <v>6.0000000000000005E-2</v>
      </c>
      <c r="D13" s="22">
        <f>(B13*C13)-($C$5+0.01)</f>
        <v>1.000000000000012E-2</v>
      </c>
      <c r="I13" s="4"/>
      <c r="J13" s="4"/>
      <c r="U13" s="4"/>
      <c r="V13" s="4"/>
      <c r="W13" s="4"/>
      <c r="X13" s="4"/>
      <c r="Y13" s="4"/>
      <c r="Z13" s="4"/>
    </row>
    <row r="14" spans="2:26" ht="30" customHeight="1" x14ac:dyDescent="0.25">
      <c r="B14" s="12">
        <v>8</v>
      </c>
      <c r="C14" s="12">
        <f>ROUNDUP((($C$5+0.01)/B14),2)</f>
        <v>6.0000000000000005E-2</v>
      </c>
      <c r="D14" s="12">
        <f>(B14*C14)-($C$5+0.01)</f>
        <v>7.0000000000000118E-2</v>
      </c>
      <c r="I14" s="4"/>
      <c r="J14" s="4"/>
      <c r="U14" s="4"/>
      <c r="V14" s="4"/>
      <c r="W14" s="4"/>
      <c r="X14" s="4"/>
      <c r="Y14" s="4"/>
      <c r="Z14" s="4"/>
    </row>
    <row r="15" spans="2:26" ht="18" customHeight="1" x14ac:dyDescent="0.25">
      <c r="I15" s="4"/>
      <c r="J15" s="4"/>
      <c r="U15" s="4"/>
      <c r="V15" s="4"/>
      <c r="W15" s="4"/>
      <c r="X15" s="4"/>
      <c r="Y15" s="4"/>
      <c r="Z15" s="4"/>
    </row>
    <row r="16" spans="2:26" ht="30" customHeight="1" x14ac:dyDescent="0.25">
      <c r="B16" s="47" t="s">
        <v>60</v>
      </c>
      <c r="C16" s="47"/>
      <c r="I16" s="4"/>
      <c r="J16" s="4"/>
      <c r="U16" s="4"/>
      <c r="V16" s="4"/>
      <c r="W16" s="4"/>
      <c r="X16" s="4"/>
      <c r="Y16" s="4"/>
      <c r="Z16" s="4"/>
    </row>
    <row r="17" spans="2:26" ht="24.75" customHeight="1" x14ac:dyDescent="0.25">
      <c r="B17" s="15" t="s">
        <v>61</v>
      </c>
      <c r="C17" s="23">
        <f>1+3.33*LOG10(C6)</f>
        <v>6.7142911343038811</v>
      </c>
      <c r="I17" s="4"/>
      <c r="J17" s="4"/>
      <c r="S17" s="4"/>
      <c r="U17" s="4"/>
      <c r="V17" s="4"/>
      <c r="W17" s="4"/>
      <c r="X17" s="4"/>
      <c r="Y17" s="4"/>
      <c r="Z17" s="4"/>
    </row>
    <row r="18" spans="2:26" ht="24.75" customHeight="1" x14ac:dyDescent="0.25">
      <c r="B18" s="24" t="s">
        <v>62</v>
      </c>
      <c r="C18" s="23">
        <f>ROUNDUP(1+3.33*LOG10(C6),0)</f>
        <v>7</v>
      </c>
      <c r="I18" s="4"/>
      <c r="J18" s="4"/>
      <c r="Q18" s="4"/>
      <c r="S18" s="4"/>
      <c r="U18" s="4"/>
      <c r="V18" s="4"/>
      <c r="W18" s="4"/>
      <c r="X18" s="4"/>
      <c r="Y18" s="4"/>
      <c r="Z18" s="4"/>
    </row>
    <row r="19" spans="2:26" x14ac:dyDescent="0.25">
      <c r="I19" s="4"/>
      <c r="J19" s="4"/>
      <c r="Q19" s="4"/>
      <c r="S19" s="4"/>
      <c r="U19" s="4"/>
      <c r="V19" s="4"/>
      <c r="W19" s="4"/>
      <c r="X19" s="4"/>
      <c r="Y19" s="4"/>
      <c r="Z19" s="4"/>
    </row>
    <row r="20" spans="2:26" x14ac:dyDescent="0.25">
      <c r="I20" s="4"/>
      <c r="J20" s="4"/>
      <c r="S20" s="4"/>
      <c r="U20" s="4"/>
      <c r="V20" s="4"/>
      <c r="W20" s="4"/>
      <c r="X20" s="4"/>
      <c r="Y20" s="4"/>
      <c r="Z20" s="4"/>
    </row>
    <row r="21" spans="2:26" x14ac:dyDescent="0.25">
      <c r="I21" s="4"/>
      <c r="J21" s="4"/>
      <c r="M21" s="4"/>
      <c r="N21" s="4"/>
      <c r="S21" s="4"/>
      <c r="U21" s="4"/>
      <c r="V21" s="4"/>
      <c r="W21" s="4"/>
      <c r="X21" s="4"/>
      <c r="Y21" s="4"/>
      <c r="Z21" s="4"/>
    </row>
    <row r="22" spans="2:26" x14ac:dyDescent="0.25">
      <c r="I22" s="4"/>
      <c r="J22" s="4"/>
      <c r="K22" s="25"/>
      <c r="L22" s="25"/>
      <c r="M22" s="4"/>
      <c r="N22" s="4"/>
      <c r="S22" s="4"/>
      <c r="U22" s="4"/>
      <c r="V22" s="4"/>
      <c r="W22" s="4"/>
      <c r="X22" s="4"/>
      <c r="Y22" s="4"/>
      <c r="Z22" s="4"/>
    </row>
    <row r="23" spans="2:26" x14ac:dyDescent="0.25">
      <c r="I23" s="4"/>
      <c r="J23" s="4"/>
      <c r="K23" s="25"/>
      <c r="L23" s="25"/>
      <c r="M23" s="4"/>
      <c r="N23" s="4"/>
      <c r="S23" s="4"/>
      <c r="U23" s="4"/>
      <c r="V23" s="4"/>
      <c r="W23" s="4"/>
      <c r="X23" s="4"/>
      <c r="Y23" s="4"/>
      <c r="Z23" s="4"/>
    </row>
    <row r="24" spans="2:26" x14ac:dyDescent="0.25">
      <c r="I24" s="4"/>
      <c r="J24" s="4"/>
      <c r="M24" s="4"/>
      <c r="N24" s="4"/>
      <c r="S24" s="4"/>
      <c r="U24" s="4"/>
      <c r="V24" s="4"/>
      <c r="W24" s="4"/>
      <c r="X24" s="4"/>
      <c r="Y24" s="4"/>
      <c r="Z24" s="4"/>
    </row>
    <row r="25" spans="2:26" x14ac:dyDescent="0.25">
      <c r="I25" s="4"/>
      <c r="J25" s="4"/>
      <c r="S25" s="4"/>
      <c r="U25" s="4"/>
      <c r="V25" s="4"/>
      <c r="W25" s="4"/>
      <c r="X25" s="4"/>
      <c r="Y25" s="4"/>
      <c r="Z25" s="4"/>
    </row>
    <row r="26" spans="2:26" x14ac:dyDescent="0.25">
      <c r="I26" s="4"/>
      <c r="J26" s="4"/>
      <c r="S26" s="4"/>
      <c r="U26" s="4"/>
      <c r="V26" s="4"/>
      <c r="W26" s="4"/>
      <c r="X26" s="4"/>
      <c r="Y26" s="4"/>
      <c r="Z26" s="4"/>
    </row>
    <row r="27" spans="2:26" x14ac:dyDescent="0.25">
      <c r="I27" s="4"/>
      <c r="J27" s="4"/>
      <c r="S27" s="4"/>
      <c r="U27" s="4"/>
      <c r="V27" s="4"/>
      <c r="W27" s="4"/>
      <c r="X27" s="4"/>
      <c r="Y27" s="4"/>
      <c r="Z27" s="4"/>
    </row>
    <row r="28" spans="2:26" x14ac:dyDescent="0.25">
      <c r="I28" s="4"/>
      <c r="J28" s="4"/>
      <c r="S28" s="4"/>
      <c r="U28" s="4"/>
      <c r="V28" s="4"/>
      <c r="W28" s="4"/>
      <c r="X28" s="4"/>
      <c r="Y28" s="4"/>
      <c r="Z28" s="4"/>
    </row>
    <row r="29" spans="2:26" x14ac:dyDescent="0.25">
      <c r="I29" s="4"/>
      <c r="J29" s="4"/>
      <c r="S29" s="4"/>
      <c r="U29" s="4"/>
      <c r="V29" s="4"/>
      <c r="W29" s="4"/>
      <c r="X29" s="4"/>
      <c r="Y29" s="4"/>
      <c r="Z29" s="4"/>
    </row>
    <row r="37" spans="10:14" x14ac:dyDescent="0.25">
      <c r="J37" s="4"/>
      <c r="K37" s="4"/>
      <c r="L37" s="4"/>
      <c r="M37" s="4"/>
      <c r="N37" s="4"/>
    </row>
    <row r="38" spans="10:14" x14ac:dyDescent="0.25">
      <c r="J38" s="4"/>
      <c r="K38" s="4"/>
      <c r="L38" s="4"/>
      <c r="M38" s="4"/>
      <c r="N38" s="4"/>
    </row>
    <row r="39" spans="10:14" x14ac:dyDescent="0.25">
      <c r="J39" s="4"/>
      <c r="K39" s="4"/>
      <c r="L39" s="4"/>
      <c r="M39" s="4"/>
      <c r="N39" s="4"/>
    </row>
    <row r="40" spans="10:14" x14ac:dyDescent="0.25">
      <c r="J40" s="4"/>
      <c r="K40" s="4"/>
      <c r="L40" s="4"/>
      <c r="M40" s="4"/>
      <c r="N40" s="4"/>
    </row>
    <row r="41" spans="10:14" x14ac:dyDescent="0.25">
      <c r="J41" s="4"/>
      <c r="K41" s="4"/>
      <c r="L41" s="4"/>
      <c r="M41" s="4"/>
      <c r="N41" s="4"/>
    </row>
    <row r="42" spans="10:14" x14ac:dyDescent="0.25">
      <c r="J42" s="4"/>
      <c r="K42" s="4"/>
      <c r="L42" s="4"/>
      <c r="M42" s="4"/>
      <c r="N42" s="4"/>
    </row>
    <row r="43" spans="10:14" x14ac:dyDescent="0.25">
      <c r="J43" s="4"/>
      <c r="K43" s="4"/>
      <c r="L43" s="4"/>
      <c r="M43" s="4"/>
      <c r="N43" s="4"/>
    </row>
    <row r="44" spans="10:14" x14ac:dyDescent="0.25">
      <c r="J44" s="4"/>
      <c r="K44" s="4"/>
      <c r="L44" s="4"/>
      <c r="M44" s="4"/>
      <c r="N44" s="4"/>
    </row>
  </sheetData>
  <mergeCells count="7">
    <mergeCell ref="G12:I12"/>
    <mergeCell ref="B16:C16"/>
    <mergeCell ref="B2:C2"/>
    <mergeCell ref="G2:M2"/>
    <mergeCell ref="G3:M3"/>
    <mergeCell ref="G4:I4"/>
    <mergeCell ref="B8:D8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44"/>
  <sheetViews>
    <sheetView showGridLines="0" tabSelected="1" topLeftCell="E3" zoomScaleNormal="100" workbookViewId="0">
      <selection activeCell="Q12" sqref="Q12"/>
    </sheetView>
  </sheetViews>
  <sheetFormatPr defaultColWidth="9.140625" defaultRowHeight="15" x14ac:dyDescent="0.25"/>
  <cols>
    <col min="1" max="1" width="2.85546875" style="2" customWidth="1"/>
    <col min="2" max="2" width="27.5703125" style="2" customWidth="1"/>
    <col min="3" max="3" width="12" style="2" customWidth="1"/>
    <col min="4" max="5" width="11.85546875" style="2" customWidth="1"/>
    <col min="6" max="6" width="4" style="2" customWidth="1"/>
    <col min="7" max="7" width="6.5703125" style="2" customWidth="1"/>
    <col min="8" max="8" width="1.7109375" style="2" customWidth="1"/>
    <col min="9" max="9" width="6.5703125" style="2" customWidth="1"/>
    <col min="10" max="13" width="9.7109375" style="2" customWidth="1"/>
    <col min="14" max="14" width="12.140625" style="2" customWidth="1"/>
    <col min="15" max="15" width="12.5703125" style="2" bestFit="1" customWidth="1"/>
    <col min="16" max="16" width="12.42578125" style="2" customWidth="1"/>
    <col min="17" max="19" width="9.140625" style="2"/>
    <col min="20" max="20" width="9.140625" style="3"/>
    <col min="21" max="16384" width="9.140625" style="2"/>
  </cols>
  <sheetData>
    <row r="1" spans="2:26" x14ac:dyDescent="0.25">
      <c r="S1" s="4"/>
    </row>
    <row r="2" spans="2:26" x14ac:dyDescent="0.25">
      <c r="B2" s="47" t="s">
        <v>43</v>
      </c>
      <c r="C2" s="47"/>
      <c r="G2" s="47" t="s">
        <v>44</v>
      </c>
      <c r="H2" s="47"/>
      <c r="I2" s="47"/>
      <c r="J2" s="47"/>
      <c r="K2" s="47"/>
      <c r="L2" s="47"/>
      <c r="M2" s="47"/>
      <c r="Q2" s="4"/>
      <c r="S2" s="4"/>
    </row>
    <row r="3" spans="2:26" ht="30" customHeight="1" x14ac:dyDescent="0.25">
      <c r="B3" s="26" t="s">
        <v>45</v>
      </c>
      <c r="C3" s="23">
        <f>MIN(DadosBrutos!E:E)</f>
        <v>50</v>
      </c>
      <c r="D3"/>
      <c r="E3"/>
      <c r="G3" s="48" t="s">
        <v>67</v>
      </c>
      <c r="H3" s="48"/>
      <c r="I3" s="48"/>
      <c r="J3" s="48"/>
      <c r="K3" s="48"/>
      <c r="L3" s="48"/>
      <c r="M3" s="48"/>
      <c r="O3" s="36" t="s">
        <v>64</v>
      </c>
      <c r="P3" s="36" t="s">
        <v>48</v>
      </c>
      <c r="Q3" s="4"/>
      <c r="S3" s="4"/>
    </row>
    <row r="4" spans="2:26" ht="30" customHeight="1" x14ac:dyDescent="0.25">
      <c r="B4" s="26" t="s">
        <v>46</v>
      </c>
      <c r="C4" s="23">
        <f>MAX(DadosBrutos!E:E)</f>
        <v>400</v>
      </c>
      <c r="D4"/>
      <c r="E4"/>
      <c r="G4" s="51" t="s">
        <v>63</v>
      </c>
      <c r="H4" s="51"/>
      <c r="I4" s="51"/>
      <c r="J4" s="27" t="s">
        <v>48</v>
      </c>
      <c r="K4" s="27" t="s">
        <v>49</v>
      </c>
      <c r="L4" s="27" t="s">
        <v>50</v>
      </c>
      <c r="M4" s="28" t="s">
        <v>51</v>
      </c>
      <c r="O4" s="36"/>
      <c r="P4" s="36"/>
      <c r="Q4" s="4"/>
      <c r="S4" s="4"/>
    </row>
    <row r="5" spans="2:26" ht="30" customHeight="1" x14ac:dyDescent="0.25">
      <c r="B5" s="29" t="s">
        <v>52</v>
      </c>
      <c r="C5" s="23">
        <f>C4-C3</f>
        <v>350</v>
      </c>
      <c r="G5" s="30">
        <v>50</v>
      </c>
      <c r="H5" s="30" t="s">
        <v>53</v>
      </c>
      <c r="I5" s="30">
        <v>93</v>
      </c>
      <c r="J5" s="12">
        <f>COUNTIFS(DadosBrutos!E:E,"&gt;=50",DadosBrutos!E:E,"&lt;=93")</f>
        <v>15</v>
      </c>
      <c r="K5" s="12">
        <f>J5</f>
        <v>15</v>
      </c>
      <c r="L5" s="35">
        <f>J5/$J$13</f>
        <v>0.28846153846153844</v>
      </c>
      <c r="M5" s="14">
        <f>L5</f>
        <v>0.28846153846153844</v>
      </c>
      <c r="O5" s="37">
        <f>(G5+I5)/2</f>
        <v>71.5</v>
      </c>
      <c r="P5" s="37">
        <f>J5</f>
        <v>15</v>
      </c>
      <c r="Q5" s="4"/>
      <c r="S5" s="4"/>
    </row>
    <row r="6" spans="2:26" ht="30" customHeight="1" x14ac:dyDescent="0.25">
      <c r="B6" s="31" t="s">
        <v>54</v>
      </c>
      <c r="C6" s="16">
        <f>COUNT(DadosBrutos!E:E)</f>
        <v>52</v>
      </c>
      <c r="G6" s="30">
        <f>G5+44</f>
        <v>94</v>
      </c>
      <c r="H6" s="30" t="s">
        <v>53</v>
      </c>
      <c r="I6" s="30">
        <f>I5+44</f>
        <v>137</v>
      </c>
      <c r="J6" s="12">
        <f>COUNTIFS(DadosBrutos!E:E,"&gt;=94",DadosBrutos!E:E,"&lt;=137")</f>
        <v>8</v>
      </c>
      <c r="K6" s="12">
        <f>K5+J6</f>
        <v>23</v>
      </c>
      <c r="L6" s="35">
        <f t="shared" ref="L6:L13" si="0">J6/$J$13</f>
        <v>0.15384615384615385</v>
      </c>
      <c r="M6" s="14">
        <f>L6+M5</f>
        <v>0.44230769230769229</v>
      </c>
      <c r="O6" s="37">
        <f t="shared" ref="O6:O12" si="1">(G6+I6)/2</f>
        <v>115.5</v>
      </c>
      <c r="P6" s="37">
        <f t="shared" ref="P6:P12" si="2">J6</f>
        <v>8</v>
      </c>
      <c r="Q6" s="4"/>
      <c r="S6" s="4"/>
      <c r="U6" s="4"/>
      <c r="V6" s="4"/>
      <c r="W6" s="4"/>
      <c r="X6" s="4"/>
      <c r="Y6" s="4"/>
      <c r="Z6" s="4"/>
    </row>
    <row r="7" spans="2:26" ht="30" customHeight="1" x14ac:dyDescent="0.25">
      <c r="G7" s="30">
        <f t="shared" ref="G7:G12" si="3">G6+44</f>
        <v>138</v>
      </c>
      <c r="H7" s="30" t="s">
        <v>53</v>
      </c>
      <c r="I7" s="30">
        <f t="shared" ref="I7:I12" si="4">I6+44</f>
        <v>181</v>
      </c>
      <c r="J7" s="12">
        <f>COUNTIFS(DadosBrutos!E:E,"&gt;=138",DadosBrutos!E:E,"&lt;=181")</f>
        <v>7</v>
      </c>
      <c r="K7" s="12">
        <f t="shared" ref="K7:K12" si="5">K6+J7</f>
        <v>30</v>
      </c>
      <c r="L7" s="35">
        <f t="shared" si="0"/>
        <v>0.13461538461538461</v>
      </c>
      <c r="M7" s="14">
        <f t="shared" ref="M7:M12" si="6">L7+M6</f>
        <v>0.57692307692307687</v>
      </c>
      <c r="O7" s="37">
        <f t="shared" si="1"/>
        <v>159.5</v>
      </c>
      <c r="P7" s="37">
        <f t="shared" si="2"/>
        <v>7</v>
      </c>
      <c r="Q7" s="4"/>
      <c r="U7" s="4"/>
      <c r="V7" s="4"/>
      <c r="W7" s="4"/>
      <c r="X7" s="4"/>
      <c r="Y7" s="4"/>
      <c r="Z7" s="4"/>
    </row>
    <row r="8" spans="2:26" ht="30" customHeight="1" x14ac:dyDescent="0.25">
      <c r="B8" s="47" t="s">
        <v>55</v>
      </c>
      <c r="C8" s="47"/>
      <c r="D8" s="47"/>
      <c r="E8" s="17"/>
      <c r="G8" s="30">
        <f t="shared" si="3"/>
        <v>182</v>
      </c>
      <c r="H8" s="30" t="s">
        <v>53</v>
      </c>
      <c r="I8" s="30">
        <f t="shared" si="4"/>
        <v>225</v>
      </c>
      <c r="J8" s="12">
        <f>COUNTIFS(DadosBrutos!E:E,"&gt;=182",DadosBrutos!E:E,"&lt;=225")</f>
        <v>9</v>
      </c>
      <c r="K8" s="12">
        <f t="shared" si="5"/>
        <v>39</v>
      </c>
      <c r="L8" s="35">
        <f t="shared" si="0"/>
        <v>0.17307692307692307</v>
      </c>
      <c r="M8" s="14">
        <f t="shared" si="6"/>
        <v>0.75</v>
      </c>
      <c r="O8" s="37">
        <f t="shared" si="1"/>
        <v>203.5</v>
      </c>
      <c r="P8" s="37">
        <f t="shared" si="2"/>
        <v>9</v>
      </c>
      <c r="Q8" s="4"/>
      <c r="U8" s="4"/>
      <c r="V8" s="4"/>
      <c r="W8" s="4"/>
      <c r="X8" s="4"/>
      <c r="Y8" s="4"/>
      <c r="Z8" s="4"/>
    </row>
    <row r="9" spans="2:26" ht="30" customHeight="1" x14ac:dyDescent="0.25">
      <c r="B9" s="18" t="s">
        <v>56</v>
      </c>
      <c r="C9" s="18" t="s">
        <v>57</v>
      </c>
      <c r="D9" s="18" t="s">
        <v>58</v>
      </c>
      <c r="E9" s="19"/>
      <c r="G9" s="30">
        <f t="shared" si="3"/>
        <v>226</v>
      </c>
      <c r="H9" s="30" t="s">
        <v>53</v>
      </c>
      <c r="I9" s="30">
        <f t="shared" si="4"/>
        <v>269</v>
      </c>
      <c r="J9" s="12">
        <f>COUNTIFS(DadosBrutos!E:E,"&gt;=226",DadosBrutos!E:E,"&lt;=269")</f>
        <v>1</v>
      </c>
      <c r="K9" s="12">
        <f t="shared" si="5"/>
        <v>40</v>
      </c>
      <c r="L9" s="35">
        <f t="shared" si="0"/>
        <v>1.9230769230769232E-2</v>
      </c>
      <c r="M9" s="14">
        <f t="shared" si="6"/>
        <v>0.76923076923076927</v>
      </c>
      <c r="O9" s="37">
        <f t="shared" si="1"/>
        <v>247.5</v>
      </c>
      <c r="P9" s="37">
        <f t="shared" si="2"/>
        <v>1</v>
      </c>
      <c r="Q9" s="4"/>
      <c r="U9" s="4"/>
      <c r="V9" s="4"/>
      <c r="W9" s="4"/>
      <c r="X9" s="4"/>
      <c r="Y9" s="4"/>
      <c r="Z9" s="4"/>
    </row>
    <row r="10" spans="2:26" ht="30" customHeight="1" x14ac:dyDescent="0.25">
      <c r="B10" s="12">
        <v>4</v>
      </c>
      <c r="C10" s="12">
        <f>ROUNDUP(($C$5+1)/B10,0)</f>
        <v>88</v>
      </c>
      <c r="D10" s="12">
        <f>ROUNDUP((B10*C10)-($C$5+1),0)</f>
        <v>1</v>
      </c>
      <c r="G10" s="30">
        <f t="shared" si="3"/>
        <v>270</v>
      </c>
      <c r="H10" s="32" t="s">
        <v>53</v>
      </c>
      <c r="I10" s="30">
        <f t="shared" si="4"/>
        <v>313</v>
      </c>
      <c r="J10" s="12">
        <f>COUNTIFS(DadosBrutos!E:E,"&gt;=270",DadosBrutos!E:E,"&lt;=313")</f>
        <v>5</v>
      </c>
      <c r="K10" s="12">
        <f t="shared" si="5"/>
        <v>45</v>
      </c>
      <c r="L10" s="35">
        <f t="shared" si="0"/>
        <v>9.6153846153846159E-2</v>
      </c>
      <c r="M10" s="14">
        <f t="shared" si="6"/>
        <v>0.86538461538461542</v>
      </c>
      <c r="O10" s="37">
        <f t="shared" si="1"/>
        <v>291.5</v>
      </c>
      <c r="P10" s="37">
        <f t="shared" si="2"/>
        <v>5</v>
      </c>
      <c r="Q10" s="4"/>
      <c r="U10" s="4"/>
      <c r="V10" s="4"/>
      <c r="W10" s="4"/>
      <c r="X10" s="4"/>
      <c r="Y10" s="4"/>
      <c r="Z10" s="4"/>
    </row>
    <row r="11" spans="2:26" ht="30" customHeight="1" x14ac:dyDescent="0.25">
      <c r="B11" s="12">
        <v>5</v>
      </c>
      <c r="C11" s="12">
        <f t="shared" ref="C11:C14" si="7">ROUNDUP(($C$5+1)/B11,0)</f>
        <v>71</v>
      </c>
      <c r="D11" s="12">
        <f t="shared" ref="D11:D14" si="8">ROUNDUP((B11*C11)-($C$5+1),0)</f>
        <v>4</v>
      </c>
      <c r="G11" s="30">
        <f t="shared" si="3"/>
        <v>314</v>
      </c>
      <c r="H11" s="33" t="s">
        <v>53</v>
      </c>
      <c r="I11" s="30">
        <f t="shared" si="4"/>
        <v>357</v>
      </c>
      <c r="J11" s="12">
        <f>COUNTIFS(DadosBrutos!E:E,"&gt;=314",DadosBrutos!E:E,"&lt;=357")</f>
        <v>4</v>
      </c>
      <c r="K11" s="12">
        <f t="shared" si="5"/>
        <v>49</v>
      </c>
      <c r="L11" s="35">
        <f t="shared" si="0"/>
        <v>7.6923076923076927E-2</v>
      </c>
      <c r="M11" s="14">
        <f t="shared" si="6"/>
        <v>0.94230769230769229</v>
      </c>
      <c r="O11" s="37">
        <f t="shared" si="1"/>
        <v>335.5</v>
      </c>
      <c r="P11" s="37">
        <f t="shared" si="2"/>
        <v>4</v>
      </c>
      <c r="U11" s="4"/>
      <c r="V11" s="4"/>
      <c r="W11" s="4"/>
      <c r="X11" s="4"/>
      <c r="Y11" s="4"/>
      <c r="Z11" s="4"/>
    </row>
    <row r="12" spans="2:26" ht="30" customHeight="1" x14ac:dyDescent="0.25">
      <c r="B12" s="12">
        <v>6</v>
      </c>
      <c r="C12" s="12">
        <f t="shared" si="7"/>
        <v>59</v>
      </c>
      <c r="D12" s="12">
        <f t="shared" si="8"/>
        <v>3</v>
      </c>
      <c r="G12" s="30">
        <f t="shared" si="3"/>
        <v>358</v>
      </c>
      <c r="H12" s="33" t="s">
        <v>53</v>
      </c>
      <c r="I12" s="30">
        <f t="shared" si="4"/>
        <v>401</v>
      </c>
      <c r="J12" s="12">
        <f>COUNTIFS(DadosBrutos!E:E,"&gt;=358",DadosBrutos!E:E,"&lt;=401")</f>
        <v>3</v>
      </c>
      <c r="K12" s="12">
        <f t="shared" si="5"/>
        <v>52</v>
      </c>
      <c r="L12" s="35">
        <f t="shared" si="0"/>
        <v>5.7692307692307696E-2</v>
      </c>
      <c r="M12" s="14">
        <f t="shared" si="6"/>
        <v>1</v>
      </c>
      <c r="O12" s="37">
        <f t="shared" si="1"/>
        <v>379.5</v>
      </c>
      <c r="P12" s="37">
        <f t="shared" si="2"/>
        <v>3</v>
      </c>
      <c r="U12" s="4"/>
      <c r="V12" s="4"/>
      <c r="W12" s="4"/>
      <c r="X12" s="4"/>
      <c r="Y12" s="4"/>
      <c r="Z12" s="4"/>
    </row>
    <row r="13" spans="2:26" ht="30" customHeight="1" x14ac:dyDescent="0.25">
      <c r="B13" s="12">
        <v>7</v>
      </c>
      <c r="C13" s="12">
        <f t="shared" si="7"/>
        <v>51</v>
      </c>
      <c r="D13" s="12">
        <f t="shared" si="8"/>
        <v>6</v>
      </c>
      <c r="G13" s="50" t="s">
        <v>59</v>
      </c>
      <c r="H13" s="50"/>
      <c r="I13" s="50"/>
      <c r="J13" s="34">
        <f>SUM(J5:J12)</f>
        <v>52</v>
      </c>
      <c r="K13" s="34" t="s">
        <v>53</v>
      </c>
      <c r="L13" s="54">
        <f>SUM(L5:L12)</f>
        <v>1</v>
      </c>
      <c r="M13" s="34" t="s">
        <v>53</v>
      </c>
      <c r="O13" s="12"/>
      <c r="P13" s="12"/>
      <c r="U13" s="4"/>
      <c r="V13" s="4"/>
      <c r="W13" s="4"/>
      <c r="X13" s="4"/>
      <c r="Y13" s="4"/>
      <c r="Z13" s="4"/>
    </row>
    <row r="14" spans="2:26" ht="30" customHeight="1" x14ac:dyDescent="0.25">
      <c r="B14" s="12">
        <v>8</v>
      </c>
      <c r="C14" s="12">
        <f t="shared" si="7"/>
        <v>44</v>
      </c>
      <c r="D14" s="12">
        <f t="shared" si="8"/>
        <v>1</v>
      </c>
      <c r="I14" s="4"/>
      <c r="J14" s="4"/>
      <c r="U14" s="4"/>
      <c r="V14" s="4"/>
      <c r="W14" s="4"/>
      <c r="X14" s="4"/>
      <c r="Y14" s="4"/>
      <c r="Z14" s="4"/>
    </row>
    <row r="15" spans="2:26" ht="18" customHeight="1" x14ac:dyDescent="0.25">
      <c r="I15" s="4"/>
      <c r="J15" s="4"/>
      <c r="U15" s="4"/>
      <c r="V15" s="4"/>
      <c r="W15" s="4"/>
      <c r="X15" s="4"/>
      <c r="Y15" s="4"/>
      <c r="Z15" s="4"/>
    </row>
    <row r="16" spans="2:26" ht="30" customHeight="1" x14ac:dyDescent="0.25">
      <c r="B16" s="47" t="s">
        <v>60</v>
      </c>
      <c r="C16" s="47"/>
      <c r="I16" s="4"/>
      <c r="J16" s="4"/>
      <c r="U16" s="4"/>
      <c r="V16" s="4"/>
      <c r="W16" s="4"/>
      <c r="X16" s="4"/>
      <c r="Y16" s="4"/>
      <c r="Z16" s="4"/>
    </row>
    <row r="17" spans="2:26" ht="24.75" customHeight="1" x14ac:dyDescent="0.25">
      <c r="B17" s="31" t="s">
        <v>61</v>
      </c>
      <c r="C17" s="23"/>
      <c r="I17" s="4"/>
      <c r="J17" s="4"/>
      <c r="S17" s="4"/>
      <c r="U17" s="4"/>
      <c r="V17" s="4"/>
      <c r="W17" s="4"/>
      <c r="X17" s="4"/>
      <c r="Y17" s="4"/>
      <c r="Z17" s="4"/>
    </row>
    <row r="18" spans="2:26" ht="24.75" customHeight="1" x14ac:dyDescent="0.25">
      <c r="B18" s="24" t="s">
        <v>62</v>
      </c>
      <c r="C18" s="23"/>
      <c r="I18" s="4"/>
      <c r="J18" s="4"/>
      <c r="Q18" s="4"/>
      <c r="S18" s="4"/>
      <c r="U18" s="4"/>
      <c r="V18" s="4"/>
      <c r="W18" s="4"/>
      <c r="X18" s="4"/>
      <c r="Y18" s="4"/>
      <c r="Z18" s="4"/>
    </row>
    <row r="19" spans="2:26" x14ac:dyDescent="0.25">
      <c r="I19" s="4"/>
      <c r="J19" s="4"/>
      <c r="Q19" s="4"/>
      <c r="S19" s="4"/>
      <c r="U19" s="4"/>
      <c r="V19" s="4"/>
      <c r="W19" s="4"/>
      <c r="X19" s="4"/>
      <c r="Y19" s="4"/>
      <c r="Z19" s="4"/>
    </row>
    <row r="20" spans="2:26" x14ac:dyDescent="0.25">
      <c r="I20" s="4"/>
      <c r="J20" s="4"/>
      <c r="S20" s="4"/>
      <c r="U20" s="4"/>
      <c r="V20" s="4"/>
      <c r="W20" s="4"/>
      <c r="X20" s="4"/>
      <c r="Y20" s="4"/>
      <c r="Z20" s="4"/>
    </row>
    <row r="21" spans="2:26" x14ac:dyDescent="0.25">
      <c r="I21" s="4"/>
      <c r="J21" s="4"/>
      <c r="M21" s="4"/>
      <c r="N21" s="4"/>
      <c r="S21" s="4"/>
      <c r="U21" s="4"/>
      <c r="V21" s="4"/>
      <c r="W21" s="4"/>
      <c r="X21" s="4"/>
      <c r="Y21" s="4"/>
      <c r="Z21" s="4"/>
    </row>
    <row r="22" spans="2:26" x14ac:dyDescent="0.25">
      <c r="I22" s="4"/>
      <c r="J22" s="4"/>
      <c r="K22" s="25"/>
      <c r="L22" s="25"/>
      <c r="M22" s="4"/>
      <c r="N22" s="4"/>
      <c r="S22" s="4"/>
      <c r="U22" s="4"/>
      <c r="V22" s="4"/>
      <c r="W22" s="4"/>
      <c r="X22" s="4"/>
      <c r="Y22" s="4"/>
      <c r="Z22" s="4"/>
    </row>
    <row r="23" spans="2:26" x14ac:dyDescent="0.25">
      <c r="I23" s="4"/>
      <c r="J23" s="4"/>
      <c r="K23" s="25"/>
      <c r="L23" s="25"/>
      <c r="M23" s="4"/>
      <c r="N23" s="4"/>
      <c r="S23" s="4"/>
      <c r="U23" s="4"/>
      <c r="V23" s="4"/>
      <c r="W23" s="4"/>
      <c r="X23" s="4"/>
      <c r="Y23" s="4"/>
      <c r="Z23" s="4"/>
    </row>
    <row r="24" spans="2:26" x14ac:dyDescent="0.25">
      <c r="I24" s="4"/>
      <c r="J24" s="4"/>
      <c r="M24" s="4"/>
      <c r="N24" s="4"/>
      <c r="S24" s="4"/>
      <c r="U24" s="4"/>
      <c r="V24" s="4"/>
      <c r="W24" s="4"/>
      <c r="X24" s="4"/>
      <c r="Y24" s="4"/>
      <c r="Z24" s="4"/>
    </row>
    <row r="25" spans="2:26" x14ac:dyDescent="0.25">
      <c r="I25" s="4"/>
      <c r="J25" s="4"/>
      <c r="S25" s="4"/>
      <c r="U25" s="4"/>
      <c r="V25" s="4"/>
      <c r="W25" s="4"/>
      <c r="X25" s="4"/>
      <c r="Y25" s="4"/>
      <c r="Z25" s="4"/>
    </row>
    <row r="26" spans="2:26" x14ac:dyDescent="0.25">
      <c r="I26" s="4"/>
      <c r="J26" s="4"/>
      <c r="S26" s="4"/>
      <c r="U26" s="4"/>
      <c r="V26" s="4"/>
      <c r="W26" s="4"/>
      <c r="X26" s="4"/>
      <c r="Y26" s="4"/>
      <c r="Z26" s="4"/>
    </row>
    <row r="27" spans="2:26" x14ac:dyDescent="0.25">
      <c r="I27" s="4"/>
      <c r="J27" s="4"/>
      <c r="S27" s="4"/>
      <c r="U27" s="4"/>
      <c r="V27" s="4"/>
      <c r="W27" s="4"/>
      <c r="X27" s="4"/>
      <c r="Y27" s="4"/>
      <c r="Z27" s="4"/>
    </row>
    <row r="28" spans="2:26" x14ac:dyDescent="0.25">
      <c r="I28" s="4"/>
      <c r="J28" s="4"/>
      <c r="S28" s="4"/>
      <c r="U28" s="4"/>
      <c r="V28" s="4"/>
      <c r="W28" s="4"/>
      <c r="X28" s="4"/>
      <c r="Y28" s="4"/>
      <c r="Z28" s="4"/>
    </row>
    <row r="29" spans="2:26" x14ac:dyDescent="0.25">
      <c r="I29" s="4"/>
      <c r="J29" s="4"/>
      <c r="S29" s="4"/>
      <c r="U29" s="4"/>
      <c r="V29" s="4"/>
      <c r="W29" s="4"/>
      <c r="X29" s="4"/>
      <c r="Y29" s="4"/>
      <c r="Z29" s="4"/>
    </row>
    <row r="37" spans="10:14" x14ac:dyDescent="0.25">
      <c r="J37" s="4"/>
      <c r="K37" s="4"/>
      <c r="L37" s="4"/>
      <c r="M37" s="4"/>
      <c r="N37" s="4"/>
    </row>
    <row r="38" spans="10:14" x14ac:dyDescent="0.25">
      <c r="J38" s="4"/>
      <c r="K38" s="4"/>
      <c r="L38" s="4"/>
      <c r="M38" s="4"/>
      <c r="N38" s="4"/>
    </row>
    <row r="39" spans="10:14" x14ac:dyDescent="0.25">
      <c r="J39" s="4"/>
      <c r="K39" s="4"/>
      <c r="L39" s="4"/>
      <c r="M39" s="4"/>
      <c r="N39" s="4"/>
    </row>
    <row r="40" spans="10:14" x14ac:dyDescent="0.25">
      <c r="J40" s="4"/>
      <c r="K40" s="4"/>
      <c r="L40" s="4"/>
      <c r="M40" s="4"/>
      <c r="N40" s="4"/>
    </row>
    <row r="41" spans="10:14" x14ac:dyDescent="0.25">
      <c r="J41" s="4"/>
      <c r="K41" s="4"/>
      <c r="L41" s="4"/>
      <c r="M41" s="4"/>
      <c r="N41" s="4"/>
    </row>
    <row r="42" spans="10:14" x14ac:dyDescent="0.25">
      <c r="J42" s="4"/>
      <c r="K42" s="4"/>
      <c r="L42" s="4"/>
      <c r="M42" s="4"/>
      <c r="N42" s="4"/>
    </row>
    <row r="43" spans="10:14" x14ac:dyDescent="0.25">
      <c r="J43" s="4"/>
      <c r="K43" s="4"/>
      <c r="L43" s="4"/>
      <c r="M43" s="4"/>
      <c r="N43" s="4"/>
    </row>
    <row r="44" spans="10:14" x14ac:dyDescent="0.25">
      <c r="J44" s="4"/>
      <c r="K44" s="4"/>
      <c r="L44" s="4"/>
      <c r="M44" s="4"/>
      <c r="N44" s="4"/>
    </row>
  </sheetData>
  <mergeCells count="7">
    <mergeCell ref="G13:I13"/>
    <mergeCell ref="B16:C16"/>
    <mergeCell ref="B2:C2"/>
    <mergeCell ref="G2:M2"/>
    <mergeCell ref="G3:M3"/>
    <mergeCell ref="G4:I4"/>
    <mergeCell ref="B8:D8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1B7049420F11498CB1DC4A09F6F729" ma:contentTypeVersion="8" ma:contentTypeDescription="Crie um novo documento." ma:contentTypeScope="" ma:versionID="be21c72f8a92c459605b8e3d7ac6d043">
  <xsd:schema xmlns:xsd="http://www.w3.org/2001/XMLSchema" xmlns:xs="http://www.w3.org/2001/XMLSchema" xmlns:p="http://schemas.microsoft.com/office/2006/metadata/properties" xmlns:ns2="0ff2d14b-b0b6-4626-89d2-95af9c75bcd2" targetNamespace="http://schemas.microsoft.com/office/2006/metadata/properties" ma:root="true" ma:fieldsID="848b1c83853259bbf4372d01308d70e8" ns2:_="">
    <xsd:import namespace="0ff2d14b-b0b6-4626-89d2-95af9c75b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2d14b-b0b6-4626-89d2-95af9c75b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6997EA-E169-4320-B3FC-729485AFF9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F4E10C-5BB3-4140-B064-B4BC62475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915647-1435-45A2-85B4-FCD3396D5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2d14b-b0b6-4626-89d2-95af9c75b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DadosBrutos</vt:lpstr>
      <vt:lpstr>Listas</vt:lpstr>
      <vt:lpstr>Tabela_Freq_Álcool</vt:lpstr>
      <vt:lpstr>Tabela_Freq_Altura</vt:lpstr>
      <vt:lpstr>Tabela_Freq_Colesterol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dc:description/>
  <cp:lastModifiedBy>Lucas Martha</cp:lastModifiedBy>
  <cp:revision>3</cp:revision>
  <dcterms:created xsi:type="dcterms:W3CDTF">2019-02-19T20:36:33Z</dcterms:created>
  <dcterms:modified xsi:type="dcterms:W3CDTF">2024-04-02T00:05:25Z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0x010100CE1B7049420F11498CB1DC4A09F6F729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_2015_ms_pID_725343">
    <vt:lpwstr>(2)J2XxsZ13P3qz4zu4E9Yc9u9uboZsSyXCYwDee/yDDFkGA2ViZPLlVxlIHMkB+04Ib+79/iVM
vmxjey/3N15NHO03lzKORVT3XI6vNKgmPJxrgXY/aPBBA2h/lPp03lftGe1Xu1go5cV8HpPj
DeV+juKt6TCFDt6lB6G2s6uEgRDqswhnWbJrv2ha21vio+IIl84XiuiHCHX6w8UHOmbcgeag
dYuD4K2N5lLhToytPP</vt:lpwstr>
  </property>
  <property fmtid="{D5CDD505-2E9C-101B-9397-08002B2CF9AE}" pid="8" name="_2015_ms_pID_7253431">
    <vt:lpwstr>MTlWALsiVJ3ge17ooMbpuOYMGYV3tmgE5xj9aoqWSV4K7D7UEUdiKK
RCiq1TCx8qpO904uQgJSB7g5NPLHkePfcDYuYO3eAUG/WmOGHfyZdmvk1IcEvfDicMQVDBMg
1SZ6m32vfbEokWkCAuwMnZ/hhVJz0mpPt+zedh89Mjh0Pkq1ze6BkntelKlaYk6p4co=</vt:lpwstr>
  </property>
</Properties>
</file>