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28110" windowHeight="13095" tabRatio="570" activeTab="1"/>
  </bookViews>
  <sheets>
    <sheet name="Contagem" sheetId="1" r:id="rId1"/>
    <sheet name="Funções" sheetId="2" r:id="rId2"/>
    <sheet name="Sumário" sheetId="3" r:id="rId3"/>
    <sheet name="Estimativas" sheetId="4" r:id="rId4"/>
    <sheet name="Produtividade Histórica" sheetId="5" r:id="rId5"/>
  </sheets>
  <definedNames>
    <definedName name="_xlnm.Print_Area" localSheetId="1">Funções!$A$1:$U$77</definedName>
    <definedName name="_xlnm.Print_Area" localSheetId="2">Sumário!$A$1:$L$59</definedName>
    <definedName name="CF">Funções!$L$8:$L$77</definedName>
    <definedName name="Data">Contagem!$X$7</definedName>
    <definedName name="Projeto">Contagem!$F$6</definedName>
    <definedName name="Responsável">Contagem!$F$7</definedName>
    <definedName name="Revisão">Contagem!$X$8</definedName>
    <definedName name="Revisor">Contagem!$F$8</definedName>
    <definedName name="_xlnm.Print_Titles" localSheetId="1">Funções!$1:$7</definedName>
    <definedName name="UFPB">Contagem!$Y$11</definedName>
    <definedName name="VAF">#REF!</definedName>
    <definedName name="VAFA">#REF!</definedName>
    <definedName name="VAFB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r>
          <rPr>
            <sz val="8"/>
            <color indexed="8"/>
            <rFont val="Times New Roman"/>
            <charset val="134"/>
          </rPr>
          <t>O propósito de uma contagem de pontos de função, é fornecer uma resposta a um problema de negócios.
Este propósito :  
- Determina o tipo de contagem de pontos de função e o escopo da contagem necessária à obtenção da resposta da questão em análise;
- Influencia o posicionamento da fronteira entre o sistema em análise e seu ambiente.</t>
        </r>
      </text>
    </comment>
  </commentList>
</comments>
</file>

<file path=xl/comments2.xml><?xml version="1.0" encoding="utf-8"?>
<comments xmlns="http://schemas.openxmlformats.org/spreadsheetml/2006/main">
  <authors>
    <author/>
    <author>Adm</author>
  </authors>
  <commentList>
    <comment ref="A7" authorId="0">
      <text>
        <r>
          <rPr>
            <sz val="8"/>
            <color indexed="8"/>
            <rFont val="Times New Roman"/>
            <charset val="134"/>
          </rPr>
          <t>O processo é a menor unidade de atividade significativa para o usuário?
É auto-contido e deixa o negócio da aplicação em um estado consistente?</t>
        </r>
      </text>
    </comment>
    <comment ref="H7" authorId="0">
      <text>
        <r>
          <rPr>
            <sz val="8"/>
            <color indexed="8"/>
            <rFont val="Times New Roman"/>
            <charset val="134"/>
          </rPr>
          <t>Tipo de Função:
ALI, AIE, EE, SE, CE</t>
        </r>
      </text>
    </comment>
    <comment ref="I7" authorId="1">
      <text>
        <r>
          <rPr>
            <b/>
            <sz val="8"/>
            <rFont val="Tahoma"/>
            <charset val="134"/>
          </rPr>
          <t>Tipo de Manutenção na função:
I</t>
        </r>
        <r>
          <rPr>
            <sz val="8"/>
            <rFont val="Tahoma"/>
            <charset val="134"/>
          </rPr>
          <t xml:space="preserve"> -Inclusão  </t>
        </r>
        <r>
          <rPr>
            <b/>
            <sz val="8"/>
            <rFont val="Tahoma"/>
            <charset val="134"/>
          </rPr>
          <t>A</t>
        </r>
        <r>
          <rPr>
            <sz val="8"/>
            <rFont val="Tahoma"/>
            <charset val="134"/>
          </rPr>
          <t xml:space="preserve"> - Alteração  </t>
        </r>
        <r>
          <rPr>
            <b/>
            <sz val="8"/>
            <rFont val="Tahoma"/>
            <charset val="134"/>
          </rPr>
          <t>E</t>
        </r>
        <r>
          <rPr>
            <sz val="8"/>
            <rFont val="Tahoma"/>
            <charset val="134"/>
          </rPr>
          <t xml:space="preserve"> - Exclusão</t>
        </r>
      </text>
    </comment>
    <comment ref="J7" authorId="0">
      <text>
        <r>
          <rPr>
            <sz val="8"/>
            <color indexed="8"/>
            <rFont val="Times New Roman"/>
            <charset val="134"/>
          </rPr>
          <t>Tipos de Dados (DETs)</t>
        </r>
      </text>
    </comment>
    <comment ref="K7" authorId="0">
      <text>
        <r>
          <rPr>
            <sz val="8"/>
            <color indexed="8"/>
            <rFont val="Times New Roman"/>
            <charset val="134"/>
          </rPr>
          <t>Arquivos Referenciados/ Tipos de Registro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"/>
            <rFont val="Times New Roman"/>
            <charset val="134"/>
          </rPr>
          <t>Entrada Externa</t>
        </r>
      </text>
    </comment>
    <comment ref="B17" authorId="0">
      <text>
        <r>
          <rPr>
            <sz val="8"/>
            <color indexed="8"/>
            <rFont val="Times New Roman"/>
            <charset val="134"/>
          </rPr>
          <t>Saída Externa</t>
        </r>
      </text>
    </comment>
    <comment ref="B24" authorId="0">
      <text>
        <r>
          <rPr>
            <sz val="8"/>
            <color indexed="8"/>
            <rFont val="Times New Roman"/>
            <charset val="134"/>
          </rPr>
          <t>Consulta Externa</t>
        </r>
      </text>
    </comment>
    <comment ref="B31" authorId="0">
      <text>
        <r>
          <rPr>
            <sz val="8"/>
            <color indexed="8"/>
            <rFont val="Times New Roman"/>
            <charset val="134"/>
          </rPr>
          <t>Arquivo Lógico Interno</t>
        </r>
      </text>
    </comment>
    <comment ref="B38" authorId="0">
      <text>
        <r>
          <rPr>
            <sz val="8"/>
            <color indexed="8"/>
            <rFont val="Times New Roman"/>
            <charset val="134"/>
          </rPr>
          <t>Arquivo de Interface Externa</t>
        </r>
      </text>
    </comment>
    <comment ref="B46" authorId="0">
      <text>
        <r>
          <rPr>
            <sz val="8"/>
            <color indexed="8"/>
            <rFont val="Times New Roman"/>
            <charset val="134"/>
          </rPr>
          <t xml:space="preserve">Técnica de estimativa do tamanho desenvolvida pela NESMA. Assume que os arquivos lógicos são de complexidade baixa e as transações são de complexidade média. </t>
        </r>
      </text>
    </comment>
    <comment ref="B47" authorId="0">
      <text>
        <r>
          <rPr>
            <sz val="8"/>
            <color indexed="8"/>
            <rFont val="Times New Roman"/>
            <charset val="134"/>
          </rPr>
          <t>Técnica de estimativa do tamanho desenvolvida pela NESMA. Basie-se apenas nos arquivos lógicos. Assume que cada ALI tem um peso de 35 PF e cada AIE um peso de 15 PF</t>
        </r>
      </text>
    </comment>
  </commentList>
</comments>
</file>

<file path=xl/sharedStrings.xml><?xml version="1.0" encoding="utf-8"?>
<sst xmlns="http://schemas.openxmlformats.org/spreadsheetml/2006/main" count="277" uniqueCount="158">
  <si>
    <t>Identificação da Contagem</t>
  </si>
  <si>
    <t>Empresa</t>
  </si>
  <si>
    <t>SISTEMAS DE INFORMAÇÃO</t>
  </si>
  <si>
    <t>R$/PF</t>
  </si>
  <si>
    <t>Custo</t>
  </si>
  <si>
    <t>Aplicação</t>
  </si>
  <si>
    <t>FINPES - SISTEMA PARA CONTROLE FINANCEIRO</t>
  </si>
  <si>
    <t>PF</t>
  </si>
  <si>
    <t>Projeto</t>
  </si>
  <si>
    <t>GESTÃO DE PROCESSOS - UEG</t>
  </si>
  <si>
    <t>Responsável</t>
  </si>
  <si>
    <t>LUCAS MORAES</t>
  </si>
  <si>
    <t>Criação</t>
  </si>
  <si>
    <t>Revisor</t>
  </si>
  <si>
    <t>Revisão</t>
  </si>
  <si>
    <t>Tipo de contagem</t>
  </si>
  <si>
    <t>Indicativa</t>
  </si>
  <si>
    <t>Sumário</t>
  </si>
  <si>
    <t>Tamanho Funcional (PF)</t>
  </si>
  <si>
    <t>Deflator</t>
  </si>
  <si>
    <t>PF Local</t>
  </si>
  <si>
    <t>Estimativa</t>
  </si>
  <si>
    <t>X</t>
  </si>
  <si>
    <t>ADD</t>
  </si>
  <si>
    <t>Projeto de Desenvolvimento</t>
  </si>
  <si>
    <t>CHG</t>
  </si>
  <si>
    <t>Projeto de Melhoria</t>
  </si>
  <si>
    <t>DEL</t>
  </si>
  <si>
    <t>Aplicação ( Baseline )</t>
  </si>
  <si>
    <t>Propósito da Contagem</t>
  </si>
  <si>
    <t>Levantamento do esforço de desenvolvimento para o sistema FinPes</t>
  </si>
  <si>
    <t>Escopo da Contagem</t>
  </si>
  <si>
    <t>Somente requisitos exemplificados na documentação</t>
  </si>
  <si>
    <t xml:space="preserve"> Planilha de contagem de ponto de função - Versão 2.0</t>
  </si>
  <si>
    <t>Função</t>
  </si>
  <si>
    <t>REF.</t>
  </si>
  <si>
    <t>Tipo</t>
  </si>
  <si>
    <t>(I/A/E)</t>
  </si>
  <si>
    <t>TD</t>
  </si>
  <si>
    <t>AR/TR</t>
  </si>
  <si>
    <t>ctl</t>
  </si>
  <si>
    <t>C</t>
  </si>
  <si>
    <t>Complex.</t>
  </si>
  <si>
    <t>Observações</t>
  </si>
  <si>
    <t>Usuário</t>
  </si>
  <si>
    <t>ST01</t>
  </si>
  <si>
    <t>ALI</t>
  </si>
  <si>
    <t>I</t>
  </si>
  <si>
    <t>Autenticar usuário</t>
  </si>
  <si>
    <t>SE</t>
  </si>
  <si>
    <t>Receita</t>
  </si>
  <si>
    <t>ST02</t>
  </si>
  <si>
    <t>Cadastrar receita</t>
  </si>
  <si>
    <t>EE</t>
  </si>
  <si>
    <t>Pesquisar receita</t>
  </si>
  <si>
    <t>CE</t>
  </si>
  <si>
    <t>Alterar receita</t>
  </si>
  <si>
    <t>Excluir receita</t>
  </si>
  <si>
    <t>Listar receitas</t>
  </si>
  <si>
    <t>Despesa</t>
  </si>
  <si>
    <t>ST03</t>
  </si>
  <si>
    <t>Cadastrar despesa</t>
  </si>
  <si>
    <t>Pesquisar despesa</t>
  </si>
  <si>
    <t>Alterar despesa</t>
  </si>
  <si>
    <t>Excluir despesa</t>
  </si>
  <si>
    <t>Listar despesas</t>
  </si>
  <si>
    <t>Forma de pagamento</t>
  </si>
  <si>
    <t>ST04</t>
  </si>
  <si>
    <t>Cadastrar forma de pagamento</t>
  </si>
  <si>
    <t>Pesquisar forma de pagamento</t>
  </si>
  <si>
    <t>Alterar forma de pagamento</t>
  </si>
  <si>
    <t>Excluir forma de pagamento</t>
  </si>
  <si>
    <t>Listar forma de pagamento</t>
  </si>
  <si>
    <t>Categoria</t>
  </si>
  <si>
    <t>ST05</t>
  </si>
  <si>
    <t>Cadastrar categoria</t>
  </si>
  <si>
    <t>ST06</t>
  </si>
  <si>
    <t>Pesquisar categoria</t>
  </si>
  <si>
    <t>Alterar categoria</t>
  </si>
  <si>
    <t>Excluir categoria</t>
  </si>
  <si>
    <t>Listar categoria</t>
  </si>
  <si>
    <t>Fechamento do mês</t>
  </si>
  <si>
    <t>ST07</t>
  </si>
  <si>
    <t>Calcular saldo</t>
  </si>
  <si>
    <t>ST08</t>
  </si>
  <si>
    <t>Sumário da Contagem</t>
  </si>
  <si>
    <t>Tipo de Função</t>
  </si>
  <si>
    <t>Complexidade Funcional</t>
  </si>
  <si>
    <t>Total por Complexidade</t>
  </si>
  <si>
    <t xml:space="preserve">% </t>
  </si>
  <si>
    <t>Baixa</t>
  </si>
  <si>
    <t>x 3</t>
  </si>
  <si>
    <t>Média</t>
  </si>
  <si>
    <t>x 4</t>
  </si>
  <si>
    <t>Alta</t>
  </si>
  <si>
    <t>x 6</t>
  </si>
  <si>
    <t>Total</t>
  </si>
  <si>
    <t>x 5</t>
  </si>
  <si>
    <t>x 7</t>
  </si>
  <si>
    <t>x 10</t>
  </si>
  <si>
    <t>x 15</t>
  </si>
  <si>
    <t>AIE</t>
  </si>
  <si>
    <t>Total PF (contagem detalhada)</t>
  </si>
  <si>
    <t>Total PF (contagem estimativa)</t>
  </si>
  <si>
    <t>Total PF (contagem indicativa)</t>
  </si>
  <si>
    <t>Total de PF Local</t>
  </si>
  <si>
    <t>DFL</t>
  </si>
  <si>
    <t>PF LOCAL</t>
  </si>
  <si>
    <t>INCLUSÃO (ADD)</t>
  </si>
  <si>
    <t>TOTAL</t>
  </si>
  <si>
    <t>ALTERAÇÃO (CHG)</t>
  </si>
  <si>
    <t>EXCLUSÃO (DEL)</t>
  </si>
  <si>
    <t>TESTE (TST)</t>
  </si>
  <si>
    <t>UC</t>
  </si>
  <si>
    <t>Prazo almejado (meses)</t>
  </si>
  <si>
    <t>ESTIMATIVA COM BASE NO HISTÓRICO DE PROJETOS</t>
  </si>
  <si>
    <t>Tecnologia</t>
  </si>
  <si>
    <t>Java</t>
  </si>
  <si>
    <t>PF/hora</t>
  </si>
  <si>
    <t>Total horas</t>
  </si>
  <si>
    <t>Horas / Homem-mês</t>
  </si>
  <si>
    <t>Esforço/pessoas no prazo desejado</t>
  </si>
  <si>
    <t>Prazo Máximo (horas)</t>
  </si>
  <si>
    <t>ESFORÇO POR ATIVIDADE (h)</t>
  </si>
  <si>
    <t>Análise de Requisitos (20%)</t>
  </si>
  <si>
    <t>Análise e Projeto (30%)</t>
  </si>
  <si>
    <t>Implementação e Testes (40%)</t>
  </si>
  <si>
    <t>Disponibilização (10%)</t>
  </si>
  <si>
    <t>ESFORÇO POR ATIVIDADE / MÊS (h)</t>
  </si>
  <si>
    <t>ESFORÇO POR ATIVIDADE / MÊS (PF)</t>
  </si>
  <si>
    <t>Plataforma de Desenvolvimento</t>
  </si>
  <si>
    <t>HH/PF</t>
  </si>
  <si>
    <t>ACCESS</t>
  </si>
  <si>
    <t>ASP</t>
  </si>
  <si>
    <t>ASP.NET</t>
  </si>
  <si>
    <t>C#</t>
  </si>
  <si>
    <t>C++</t>
  </si>
  <si>
    <t>DELPHI</t>
  </si>
  <si>
    <t>.NET / Reporting Services</t>
  </si>
  <si>
    <t>HTML</t>
  </si>
  <si>
    <t>Java web</t>
  </si>
  <si>
    <t>Javascript</t>
  </si>
  <si>
    <t>Mobile</t>
  </si>
  <si>
    <t>PHP</t>
  </si>
  <si>
    <t>PL/SQL</t>
  </si>
  <si>
    <t>PROJETOS DE GIS</t>
  </si>
  <si>
    <t>PROJETOS DE WORKFLOW</t>
  </si>
  <si>
    <t>UNIX SHELL SCRIPTS</t>
  </si>
  <si>
    <t>VB-SCRIPT</t>
  </si>
  <si>
    <t>VISUAL BASIC / Crystal Reports</t>
  </si>
  <si>
    <t>VISUAL C++</t>
  </si>
  <si>
    <t>WEBSERVICE</t>
  </si>
  <si>
    <t>C# - MVVM</t>
  </si>
  <si>
    <t>Mobile-C#-Integração</t>
  </si>
  <si>
    <t>Mobile-AutoTrac</t>
  </si>
  <si>
    <t>Mobile-GIS</t>
  </si>
  <si>
    <t>C# - MVVM – GIS</t>
  </si>
  <si>
    <t>Serviços de Integração</t>
  </si>
</sst>
</file>

<file path=xl/styles.xml><?xml version="1.0" encoding="utf-8"?>
<styleSheet xmlns="http://schemas.openxmlformats.org/spreadsheetml/2006/main">
  <numFmts count="5">
    <numFmt numFmtId="176" formatCode="_-&quot;R$&quot;\ * #,##0_-;\-&quot;R$&quot;\ * #,##0_-;_-&quot;R$&quot;\ * &quot;-&quot;_-;_-@_-"/>
    <numFmt numFmtId="177" formatCode="_(&quot;R$&quot;* #,##0.00_);_(&quot;R$&quot;* \(#,##0.00\);_(&quot;R$&quot;* \-??_);_(@_)"/>
    <numFmt numFmtId="178" formatCode="_-* #,##0_-;\-* #,##0_-;_-* &quot;-&quot;_-;_-@_-"/>
    <numFmt numFmtId="179" formatCode="_(* #,##0.00_);_(* \(#,##0.00\);_(* \-??_);_(@_)"/>
    <numFmt numFmtId="180" formatCode="0.0%"/>
  </numFmts>
  <fonts count="41">
    <font>
      <sz val="1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name val="Arial"/>
      <charset val="134"/>
    </font>
    <font>
      <b/>
      <sz val="10"/>
      <color theme="0"/>
      <name val="Arial"/>
      <charset val="134"/>
    </font>
    <font>
      <sz val="10"/>
      <name val="Arial"/>
      <charset val="134"/>
    </font>
    <font>
      <sz val="9"/>
      <name val="Franklin Gothic Medium"/>
      <charset val="134"/>
    </font>
    <font>
      <b/>
      <sz val="10"/>
      <name val="Franklin Gothic Medium"/>
      <charset val="134"/>
    </font>
    <font>
      <sz val="9"/>
      <color indexed="9"/>
      <name val="Franklin Gothic Medium"/>
      <charset val="134"/>
    </font>
    <font>
      <b/>
      <sz val="9"/>
      <name val="Franklin Gothic Medium"/>
      <charset val="134"/>
    </font>
    <font>
      <sz val="10"/>
      <name val="Franklin Gothic Medium"/>
      <charset val="134"/>
    </font>
    <font>
      <sz val="8"/>
      <name val="Franklin Gothic Medium"/>
      <charset val="134"/>
    </font>
    <font>
      <sz val="10"/>
      <color indexed="9"/>
      <name val="Franklin Gothic Medium"/>
      <charset val="134"/>
    </font>
    <font>
      <sz val="9"/>
      <color indexed="12"/>
      <name val="Franklin Gothic Medium"/>
      <charset val="134"/>
    </font>
    <font>
      <b/>
      <sz val="9"/>
      <color indexed="12"/>
      <name val="Franklin Gothic Medium"/>
      <charset val="134"/>
    </font>
    <font>
      <b/>
      <sz val="12"/>
      <name val="Franklin Gothic Medium"/>
      <charset val="134"/>
    </font>
    <font>
      <b/>
      <sz val="9"/>
      <color rgb="FFFF0000"/>
      <name val="Franklin Gothic Medium"/>
      <charset val="134"/>
    </font>
    <font>
      <sz val="10"/>
      <color indexed="12"/>
      <name val="Franklin Gothic Medium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8"/>
      <color indexed="8"/>
      <name val="Times New Roman"/>
      <charset val="134"/>
    </font>
    <font>
      <b/>
      <sz val="8"/>
      <name val="Tahoma"/>
      <charset val="134"/>
    </font>
    <font>
      <sz val="8"/>
      <name val="Tahoma"/>
      <charset val="134"/>
    </font>
  </fonts>
  <fills count="5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3"/>
        <bgColor indexed="55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43"/>
        <bgColor indexed="26"/>
      </patternFill>
    </fill>
    <fill>
      <patternFill patternType="solid">
        <fgColor indexed="15"/>
        <bgColor indexed="35"/>
      </patternFill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9" fontId="5" fillId="0" borderId="0" applyFill="0" applyBorder="0" applyAlignment="0" applyProtection="0"/>
    <xf numFmtId="178" fontId="18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9" fontId="5" fillId="0" borderId="0" applyFill="0" applyBorder="0" applyAlignment="0" applyProtection="0"/>
    <xf numFmtId="0" fontId="23" fillId="0" borderId="44" applyNumberFormat="0" applyFill="0" applyAlignment="0" applyProtection="0">
      <alignment vertical="center"/>
    </xf>
    <xf numFmtId="0" fontId="24" fillId="28" borderId="46" applyNumberFormat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177" fontId="5" fillId="0" borderId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5" borderId="45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48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42" borderId="51" applyNumberFormat="0" applyAlignment="0" applyProtection="0">
      <alignment vertical="center"/>
    </xf>
    <xf numFmtId="0" fontId="34" fillId="38" borderId="50" applyNumberFormat="0" applyAlignment="0" applyProtection="0">
      <alignment vertical="center"/>
    </xf>
    <xf numFmtId="0" fontId="36" fillId="38" borderId="51" applyNumberFormat="0" applyAlignment="0" applyProtection="0">
      <alignment vertical="center"/>
    </xf>
    <xf numFmtId="0" fontId="32" fillId="0" borderId="49" applyNumberFormat="0" applyFill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</cellStyleXfs>
  <cellXfs count="1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3" fontId="0" fillId="0" borderId="0" xfId="0" applyNumberFormat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3" fillId="5" borderId="3" xfId="0" applyNumberFormat="1" applyFont="1" applyFill="1" applyBorder="1" applyAlignment="1">
      <alignment horizontal="center"/>
    </xf>
    <xf numFmtId="0" fontId="0" fillId="5" borderId="4" xfId="0" applyFill="1" applyBorder="1"/>
    <xf numFmtId="3" fontId="0" fillId="5" borderId="5" xfId="0" applyNumberFormat="1" applyFill="1" applyBorder="1" applyAlignment="1">
      <alignment horizontal="center"/>
    </xf>
    <xf numFmtId="0" fontId="3" fillId="5" borderId="6" xfId="0" applyFont="1" applyFill="1" applyBorder="1"/>
    <xf numFmtId="3" fontId="3" fillId="5" borderId="7" xfId="0" applyNumberFormat="1" applyFont="1" applyFill="1" applyBorder="1" applyAlignment="1">
      <alignment horizontal="center"/>
    </xf>
    <xf numFmtId="0" fontId="4" fillId="6" borderId="2" xfId="0" applyFont="1" applyFill="1" applyBorder="1"/>
    <xf numFmtId="0" fontId="4" fillId="6" borderId="3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4" borderId="8" xfId="0" applyFont="1" applyFill="1" applyBorder="1"/>
    <xf numFmtId="4" fontId="3" fillId="4" borderId="9" xfId="0" applyNumberFormat="1" applyFont="1" applyFill="1" applyBorder="1" applyAlignment="1">
      <alignment horizontal="center"/>
    </xf>
    <xf numFmtId="0" fontId="5" fillId="0" borderId="0" xfId="0" applyFont="1"/>
    <xf numFmtId="0" fontId="5" fillId="4" borderId="4" xfId="0" applyFont="1" applyFill="1" applyBorder="1"/>
    <xf numFmtId="4" fontId="3" fillId="4" borderId="5" xfId="0" applyNumberFormat="1" applyFont="1" applyFill="1" applyBorder="1" applyAlignment="1">
      <alignment horizontal="center"/>
    </xf>
    <xf numFmtId="0" fontId="3" fillId="7" borderId="4" xfId="0" applyFont="1" applyFill="1" applyBorder="1"/>
    <xf numFmtId="3" fontId="3" fillId="7" borderId="5" xfId="0" applyNumberFormat="1" applyFont="1" applyFill="1" applyBorder="1" applyAlignment="1">
      <alignment horizontal="center"/>
    </xf>
    <xf numFmtId="3" fontId="3" fillId="4" borderId="5" xfId="0" applyNumberFormat="1" applyFont="1" applyFill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0" fontId="3" fillId="4" borderId="6" xfId="0" applyFont="1" applyFill="1" applyBorder="1"/>
    <xf numFmtId="2" fontId="3" fillId="4" borderId="7" xfId="0" applyNumberFormat="1" applyFont="1" applyFill="1" applyBorder="1" applyAlignment="1">
      <alignment horizontal="center"/>
    </xf>
    <xf numFmtId="0" fontId="3" fillId="8" borderId="8" xfId="0" applyFont="1" applyFill="1" applyBorder="1"/>
    <xf numFmtId="3" fontId="0" fillId="8" borderId="9" xfId="0" applyNumberFormat="1" applyFill="1" applyBorder="1" applyAlignment="1">
      <alignment horizontal="center"/>
    </xf>
    <xf numFmtId="0" fontId="5" fillId="8" borderId="4" xfId="0" applyFont="1" applyFill="1" applyBorder="1"/>
    <xf numFmtId="3" fontId="3" fillId="8" borderId="5" xfId="0" applyNumberFormat="1" applyFont="1" applyFill="1" applyBorder="1" applyAlignment="1">
      <alignment horizontal="center"/>
    </xf>
    <xf numFmtId="0" fontId="5" fillId="8" borderId="6" xfId="0" applyFont="1" applyFill="1" applyBorder="1"/>
    <xf numFmtId="3" fontId="3" fillId="8" borderId="7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10" xfId="0" applyFont="1" applyBorder="1" applyAlignment="1">
      <alignment horizontal="center" vertical="center"/>
    </xf>
    <xf numFmtId="0" fontId="6" fillId="9" borderId="11" xfId="0" applyFont="1" applyFill="1" applyBorder="1" applyAlignment="1">
      <alignment horizontal="left" vertical="center"/>
    </xf>
    <xf numFmtId="0" fontId="6" fillId="9" borderId="12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horizontal="left" vertical="center"/>
    </xf>
    <xf numFmtId="0" fontId="6" fillId="9" borderId="13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15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 wrapText="1"/>
    </xf>
    <xf numFmtId="0" fontId="8" fillId="10" borderId="14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 wrapText="1"/>
    </xf>
    <xf numFmtId="0" fontId="6" fillId="0" borderId="16" xfId="0" applyFont="1" applyBorder="1"/>
    <xf numFmtId="0" fontId="6" fillId="0" borderId="17" xfId="0" applyFont="1" applyBorder="1"/>
    <xf numFmtId="0" fontId="6" fillId="0" borderId="17" xfId="0" applyFont="1" applyFill="1" applyBorder="1"/>
    <xf numFmtId="0" fontId="6" fillId="0" borderId="18" xfId="0" applyFont="1" applyBorder="1"/>
    <xf numFmtId="0" fontId="6" fillId="0" borderId="0" xfId="0" applyFont="1" applyBorder="1"/>
    <xf numFmtId="0" fontId="6" fillId="0" borderId="19" xfId="0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/>
    <xf numFmtId="0" fontId="6" fillId="0" borderId="20" xfId="0" applyFont="1" applyBorder="1"/>
    <xf numFmtId="0" fontId="6" fillId="0" borderId="19" xfId="0" applyFont="1" applyBorder="1"/>
    <xf numFmtId="0" fontId="6" fillId="0" borderId="15" xfId="0" applyFont="1" applyBorder="1" applyAlignment="1">
      <alignment horizontal="center"/>
    </xf>
    <xf numFmtId="0" fontId="6" fillId="0" borderId="15" xfId="0" applyFont="1" applyBorder="1" applyAlignment="1">
      <alignment horizontal="left"/>
    </xf>
    <xf numFmtId="2" fontId="6" fillId="9" borderId="15" xfId="0" applyNumberFormat="1" applyFont="1" applyFill="1" applyBorder="1" applyAlignment="1">
      <alignment horizontal="center"/>
    </xf>
    <xf numFmtId="2" fontId="6" fillId="9" borderId="15" xfId="4" applyNumberFormat="1" applyFont="1" applyFill="1" applyBorder="1" applyAlignment="1" applyProtection="1">
      <alignment horizontal="center"/>
    </xf>
    <xf numFmtId="2" fontId="6" fillId="0" borderId="0" xfId="4" applyNumberFormat="1" applyFont="1" applyFill="1" applyBorder="1" applyAlignment="1" applyProtection="1"/>
    <xf numFmtId="0" fontId="6" fillId="0" borderId="21" xfId="0" applyFont="1" applyBorder="1"/>
    <xf numFmtId="0" fontId="9" fillId="0" borderId="22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2" fontId="6" fillId="0" borderId="22" xfId="0" applyNumberFormat="1" applyFont="1" applyBorder="1" applyAlignment="1">
      <alignment horizontal="center"/>
    </xf>
    <xf numFmtId="2" fontId="6" fillId="0" borderId="22" xfId="4" applyNumberFormat="1" applyFont="1" applyFill="1" applyBorder="1" applyAlignment="1" applyProtection="1">
      <alignment horizontal="center"/>
    </xf>
    <xf numFmtId="2" fontId="6" fillId="0" borderId="22" xfId="4" applyNumberFormat="1" applyFont="1" applyFill="1" applyBorder="1" applyAlignment="1" applyProtection="1"/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4" applyNumberFormat="1" applyFont="1" applyFill="1" applyBorder="1" applyAlignment="1" applyProtection="1">
      <alignment horizontal="center"/>
    </xf>
    <xf numFmtId="0" fontId="6" fillId="11" borderId="12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 wrapText="1"/>
    </xf>
    <xf numFmtId="0" fontId="6" fillId="0" borderId="24" xfId="0" applyFont="1" applyBorder="1"/>
    <xf numFmtId="180" fontId="6" fillId="0" borderId="0" xfId="4" applyNumberFormat="1" applyFont="1" applyFill="1" applyBorder="1" applyAlignment="1" applyProtection="1"/>
    <xf numFmtId="0" fontId="6" fillId="0" borderId="25" xfId="0" applyFont="1" applyBorder="1"/>
    <xf numFmtId="10" fontId="6" fillId="0" borderId="25" xfId="0" applyNumberFormat="1" applyFont="1" applyBorder="1"/>
    <xf numFmtId="180" fontId="6" fillId="12" borderId="0" xfId="4" applyNumberFormat="1" applyFont="1" applyFill="1" applyBorder="1" applyAlignment="1" applyProtection="1"/>
    <xf numFmtId="9" fontId="6" fillId="0" borderId="0" xfId="4" applyFont="1" applyFill="1" applyBorder="1" applyAlignment="1" applyProtection="1"/>
    <xf numFmtId="0" fontId="6" fillId="0" borderId="26" xfId="0" applyFont="1" applyBorder="1"/>
    <xf numFmtId="180" fontId="6" fillId="13" borderId="0" xfId="4" applyNumberFormat="1" applyFont="1" applyFill="1" applyBorder="1" applyAlignment="1" applyProtection="1"/>
    <xf numFmtId="180" fontId="6" fillId="14" borderId="0" xfId="4" applyNumberFormat="1" applyFont="1" applyFill="1" applyBorder="1" applyAlignment="1" applyProtection="1"/>
    <xf numFmtId="180" fontId="6" fillId="15" borderId="0" xfId="4" applyNumberFormat="1" applyFont="1" applyFill="1" applyBorder="1" applyAlignment="1" applyProtection="1"/>
    <xf numFmtId="180" fontId="6" fillId="16" borderId="0" xfId="4" applyNumberFormat="1" applyFont="1" applyFill="1" applyBorder="1" applyAlignment="1" applyProtection="1"/>
    <xf numFmtId="2" fontId="6" fillId="0" borderId="15" xfId="4" applyNumberFormat="1" applyFont="1" applyFill="1" applyBorder="1" applyAlignment="1" applyProtection="1">
      <alignment horizontal="center"/>
    </xf>
    <xf numFmtId="2" fontId="9" fillId="11" borderId="15" xfId="4" applyNumberFormat="1" applyFont="1" applyFill="1" applyBorder="1" applyAlignment="1" applyProtection="1"/>
    <xf numFmtId="2" fontId="9" fillId="0" borderId="22" xfId="4" applyNumberFormat="1" applyFont="1" applyFill="1" applyBorder="1" applyAlignment="1" applyProtection="1"/>
    <xf numFmtId="0" fontId="6" fillId="0" borderId="27" xfId="0" applyFont="1" applyBorder="1"/>
    <xf numFmtId="2" fontId="9" fillId="0" borderId="0" xfId="4" applyNumberFormat="1" applyFont="1" applyFill="1" applyBorder="1" applyAlignment="1" applyProtection="1"/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10" fillId="9" borderId="13" xfId="0" applyFont="1" applyFill="1" applyBorder="1" applyAlignment="1">
      <alignment horizontal="left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vertical="center"/>
    </xf>
    <xf numFmtId="0" fontId="10" fillId="9" borderId="11" xfId="0" applyFont="1" applyFill="1" applyBorder="1" applyAlignment="1">
      <alignment vertical="center"/>
    </xf>
    <xf numFmtId="0" fontId="12" fillId="10" borderId="11" xfId="0" applyFont="1" applyFill="1" applyBorder="1" applyAlignment="1">
      <alignment horizontal="center" vertical="center" wrapText="1"/>
    </xf>
    <xf numFmtId="0" fontId="12" fillId="10" borderId="28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/>
    </xf>
    <xf numFmtId="0" fontId="11" fillId="17" borderId="29" xfId="0" applyFont="1" applyFill="1" applyBorder="1" applyAlignment="1">
      <alignment horizontal="left" vertical="center"/>
    </xf>
    <xf numFmtId="0" fontId="11" fillId="17" borderId="30" xfId="0" applyFont="1" applyFill="1" applyBorder="1" applyAlignment="1">
      <alignment horizontal="left" vertical="center"/>
    </xf>
    <xf numFmtId="0" fontId="11" fillId="17" borderId="31" xfId="0" applyFont="1" applyFill="1" applyBorder="1" applyAlignment="1">
      <alignment horizontal="left" vertical="center"/>
    </xf>
    <xf numFmtId="0" fontId="11" fillId="17" borderId="31" xfId="0" applyFont="1" applyFill="1" applyBorder="1" applyAlignment="1">
      <alignment horizontal="center" vertical="center"/>
    </xf>
    <xf numFmtId="0" fontId="11" fillId="17" borderId="32" xfId="0" applyFont="1" applyFill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0" fillId="9" borderId="33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2" fillId="10" borderId="35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/>
    </xf>
    <xf numFmtId="0" fontId="12" fillId="10" borderId="36" xfId="0" applyFont="1" applyFill="1" applyBorder="1" applyAlignment="1">
      <alignment horizontal="center"/>
    </xf>
    <xf numFmtId="0" fontId="11" fillId="18" borderId="31" xfId="0" applyFont="1" applyFill="1" applyBorder="1" applyAlignment="1">
      <alignment horizontal="center" vertical="center"/>
    </xf>
    <xf numFmtId="0" fontId="11" fillId="0" borderId="37" xfId="0" applyFont="1" applyBorder="1" applyAlignment="1">
      <alignment horizontal="center" wrapText="1"/>
    </xf>
    <xf numFmtId="0" fontId="11" fillId="9" borderId="32" xfId="0" applyFont="1" applyFill="1" applyBorder="1" applyAlignment="1">
      <alignment horizontal="center" wrapText="1"/>
    </xf>
    <xf numFmtId="0" fontId="11" fillId="9" borderId="32" xfId="0" applyFont="1" applyFill="1" applyBorder="1" applyAlignment="1">
      <alignment horizontal="center"/>
    </xf>
    <xf numFmtId="4" fontId="11" fillId="9" borderId="32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2" fillId="10" borderId="38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left" vertical="center"/>
    </xf>
    <xf numFmtId="0" fontId="11" fillId="0" borderId="30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13" fillId="0" borderId="35" xfId="0" applyFont="1" applyBorder="1" applyAlignment="1">
      <alignment horizontal="left" vertical="center"/>
    </xf>
    <xf numFmtId="0" fontId="6" fillId="0" borderId="35" xfId="0" applyFont="1" applyBorder="1" applyAlignment="1" applyProtection="1">
      <alignment horizontal="left"/>
      <protection locked="0"/>
    </xf>
    <xf numFmtId="0" fontId="6" fillId="0" borderId="14" xfId="0" applyFont="1" applyBorder="1" applyAlignment="1" applyProtection="1">
      <alignment horizontal="left"/>
      <protection locked="0"/>
    </xf>
    <xf numFmtId="0" fontId="6" fillId="0" borderId="15" xfId="0" applyFont="1" applyBorder="1" applyProtection="1">
      <protection locked="0"/>
    </xf>
    <xf numFmtId="0" fontId="14" fillId="0" borderId="15" xfId="0" applyFont="1" applyBorder="1" applyAlignment="1">
      <alignment horizontal="center" vertical="center" textRotation="90" wrapText="1"/>
    </xf>
    <xf numFmtId="0" fontId="13" fillId="0" borderId="28" xfId="0" applyFont="1" applyBorder="1"/>
    <xf numFmtId="0" fontId="13" fillId="0" borderId="35" xfId="0" applyFont="1" applyBorder="1"/>
    <xf numFmtId="0" fontId="13" fillId="0" borderId="14" xfId="0" applyFont="1" applyBorder="1"/>
    <xf numFmtId="0" fontId="10" fillId="0" borderId="0" xfId="0" applyFont="1" applyBorder="1"/>
    <xf numFmtId="0" fontId="15" fillId="0" borderId="0" xfId="0" applyFont="1" applyAlignment="1">
      <alignment horizontal="center"/>
    </xf>
    <xf numFmtId="0" fontId="10" fillId="0" borderId="39" xfId="0" applyFont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 wrapText="1"/>
      <protection locked="0"/>
    </xf>
    <xf numFmtId="0" fontId="10" fillId="0" borderId="38" xfId="0" applyFont="1" applyBorder="1" applyAlignment="1" applyProtection="1">
      <alignment horizontal="left" vertical="top" wrapText="1"/>
      <protection locked="0"/>
    </xf>
    <xf numFmtId="0" fontId="10" fillId="0" borderId="0" xfId="0" applyFont="1" applyBorder="1" applyAlignment="1" applyProtection="1">
      <alignment horizontal="left" vertical="top" wrapText="1"/>
      <protection locked="0"/>
    </xf>
    <xf numFmtId="0" fontId="10" fillId="0" borderId="40" xfId="0" applyFont="1" applyBorder="1" applyAlignment="1" applyProtection="1">
      <alignment horizontal="left" vertical="top" wrapText="1"/>
      <protection locked="0"/>
    </xf>
    <xf numFmtId="0" fontId="10" fillId="0" borderId="19" xfId="0" applyFont="1" applyBorder="1" applyAlignment="1" applyProtection="1">
      <alignment horizontal="left" vertical="top" wrapText="1"/>
      <protection locked="0"/>
    </xf>
    <xf numFmtId="0" fontId="9" fillId="0" borderId="15" xfId="0" applyFont="1" applyBorder="1" applyAlignment="1" applyProtection="1">
      <alignment horizontal="center"/>
      <protection locked="0"/>
    </xf>
    <xf numFmtId="0" fontId="14" fillId="0" borderId="35" xfId="0" applyFont="1" applyBorder="1" applyAlignment="1">
      <alignment horizontal="center" vertical="center" textRotation="90" wrapText="1"/>
    </xf>
    <xf numFmtId="0" fontId="7" fillId="0" borderId="19" xfId="0" applyFont="1" applyBorder="1" applyAlignment="1">
      <alignment horizontal="center" vertical="center"/>
    </xf>
    <xf numFmtId="0" fontId="6" fillId="0" borderId="28" xfId="0" applyFont="1" applyBorder="1" applyAlignment="1" applyProtection="1">
      <alignment horizontal="left"/>
      <protection locked="0"/>
    </xf>
    <xf numFmtId="0" fontId="13" fillId="0" borderId="15" xfId="0" applyFont="1" applyBorder="1" applyAlignment="1">
      <alignment horizontal="center"/>
    </xf>
    <xf numFmtId="2" fontId="16" fillId="0" borderId="15" xfId="0" applyNumberFormat="1" applyFont="1" applyBorder="1" applyAlignment="1" applyProtection="1">
      <alignment horizontal="right"/>
      <protection locked="0"/>
    </xf>
    <xf numFmtId="177" fontId="6" fillId="9" borderId="15" xfId="9" applyFont="1" applyFill="1" applyBorder="1" applyAlignment="1" applyProtection="1">
      <alignment horizontal="right"/>
    </xf>
    <xf numFmtId="179" fontId="6" fillId="9" borderId="15" xfId="1" applyFont="1" applyFill="1" applyBorder="1" applyAlignment="1" applyProtection="1"/>
    <xf numFmtId="0" fontId="13" fillId="0" borderId="15" xfId="0" applyFont="1" applyBorder="1" applyAlignment="1">
      <alignment horizontal="right"/>
    </xf>
    <xf numFmtId="58" fontId="6" fillId="0" borderId="15" xfId="0" applyNumberFormat="1" applyFont="1" applyBorder="1" applyAlignment="1" applyProtection="1">
      <alignment horizontal="right"/>
      <protection locked="0"/>
    </xf>
    <xf numFmtId="2" fontId="6" fillId="0" borderId="15" xfId="0" applyNumberFormat="1" applyFont="1" applyFill="1" applyBorder="1" applyAlignment="1">
      <alignment horizontal="center"/>
    </xf>
    <xf numFmtId="0" fontId="13" fillId="0" borderId="35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0" fillId="0" borderId="41" xfId="0" applyFont="1" applyBorder="1" applyAlignment="1" applyProtection="1">
      <alignment horizontal="left" vertical="top" wrapText="1"/>
      <protection locked="0"/>
    </xf>
    <xf numFmtId="0" fontId="10" fillId="0" borderId="42" xfId="0" applyFont="1" applyBorder="1" applyAlignment="1" applyProtection="1">
      <alignment horizontal="left" vertical="top" wrapText="1"/>
      <protection locked="0"/>
    </xf>
    <xf numFmtId="0" fontId="10" fillId="0" borderId="43" xfId="0" applyFont="1" applyBorder="1" applyAlignment="1" applyProtection="1">
      <alignment horizontal="left" vertical="top" wrapText="1"/>
      <protection locked="0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3">
    <dxf>
      <font>
        <b val="0"/>
        <i val="1"/>
        <color indexed="17"/>
      </font>
      <fill>
        <patternFill patternType="solid">
          <fgColor indexed="41"/>
          <bgColor indexed="27"/>
        </patternFill>
      </fill>
    </dxf>
    <dxf>
      <font>
        <b val="0"/>
        <color indexed="53"/>
      </font>
      <fill>
        <patternFill patternType="solid">
          <fgColor indexed="26"/>
          <bgColor indexed="43"/>
        </patternFill>
      </fill>
    </dxf>
    <dxf>
      <font>
        <b val="1"/>
        <i val="0"/>
        <color indexed="10"/>
      </font>
      <fill>
        <patternFill patternType="solid">
          <fgColor indexed="22"/>
          <bgColor indexed="47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pt-BR" sz="800" b="1" i="0" u="none" strike="noStrike" kern="1200" baseline="0">
                <a:solidFill>
                  <a:srgbClr val="000000"/>
                </a:solidFill>
                <a:latin typeface="Arial" panose="020B0604020202020204"/>
                <a:ea typeface="Arial" panose="020B0604020202020204"/>
                <a:cs typeface="Arial" panose="020B0604020202020204"/>
              </a:defRPr>
            </a:pPr>
            <a:r>
              <a:rPr lang="pt-BR"/>
              <a:t>% por Tipo de Função</a:t>
            </a:r>
            <a:endParaRPr lang="pt-BR"/>
          </a:p>
        </c:rich>
      </c:tx>
      <c:layout>
        <c:manualLayout>
          <c:xMode val="edge"/>
          <c:yMode val="edge"/>
          <c:x val="0.273685181244236"/>
          <c:y val="0.0625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947378565426"/>
          <c:y val="0.479164229511365"/>
          <c:w val="0.115789771252496"/>
          <c:h val="0.229165501070653"/>
        </c:manualLayout>
      </c:layout>
      <c:pieChart>
        <c:varyColors val="1"/>
        <c:ser>
          <c:idx val="0"/>
          <c:order val="0"/>
          <c:spPr>
            <a:solidFill>
              <a:srgbClr val="99CCFF"/>
            </a:solidFill>
            <a:ln w="3175">
              <a:solidFill>
                <a:srgbClr val="000000"/>
              </a:solidFill>
              <a:prstDash val="solid"/>
            </a:ln>
          </c:spPr>
          <c:explosion val="0"/>
          <c:dPt>
            <c:idx val="0"/>
            <c:bubble3D val="0"/>
            <c:spPr>
              <a:solidFill>
                <a:srgbClr val="9999FF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rgbClr val="993366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3175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/>
              <c:numFmt formatCode="General" sourceLinked="1"/>
              <c:spPr>
                <a:noFill/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pt-BR" sz="1000" b="0" i="0" u="none" strike="noStrike" kern="1200" baseline="0">
                      <a:solidFill>
                        <a:srgbClr val="000000"/>
                      </a:solidFill>
                      <a:latin typeface="Arial" panose="020B0604020202020204"/>
                      <a:ea typeface="Arial" panose="020B0604020202020204"/>
                      <a:cs typeface="Arial" panose="020B0604020202020204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pt-BR" sz="800" b="0" i="0" u="none" strike="noStrike" kern="1200" baseline="0">
                      <a:solidFill>
                        <a:srgbClr val="000000"/>
                      </a:solidFill>
                      <a:latin typeface="Arial" panose="020B0604020202020204"/>
                      <a:ea typeface="Arial" panose="020B0604020202020204"/>
                      <a:cs typeface="Arial" panose="020B0604020202020204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pt-BR" sz="800" b="0" i="0" u="none" strike="noStrike" kern="1200" baseline="0">
                      <a:solidFill>
                        <a:srgbClr val="000000"/>
                      </a:solidFill>
                      <a:latin typeface="Arial" panose="020B0604020202020204"/>
                      <a:ea typeface="Arial" panose="020B0604020202020204"/>
                      <a:cs typeface="Arial" panose="020B0604020202020204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pt-BR" sz="800" b="0" i="0" u="none" strike="noStrike" kern="1200" baseline="0">
                      <a:solidFill>
                        <a:srgbClr val="000000"/>
                      </a:solidFill>
                      <a:latin typeface="Arial" panose="020B0604020202020204"/>
                      <a:ea typeface="Arial" panose="020B0604020202020204"/>
                      <a:cs typeface="Arial" panose="020B0604020202020204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pt-BR" sz="800" b="0" i="0" u="none" strike="noStrike" kern="1200" baseline="0">
                      <a:solidFill>
                        <a:srgbClr val="000000"/>
                      </a:solidFill>
                      <a:latin typeface="Arial" panose="020B0604020202020204"/>
                      <a:ea typeface="Arial" panose="020B0604020202020204"/>
                      <a:cs typeface="Arial" panose="020B0604020202020204"/>
                    </a:defRPr>
                  </a:pPr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rgbClr val="000000"/>
                    </a:solidFill>
                    <a:latin typeface="Arial" panose="020B0604020202020204"/>
                    <a:ea typeface="Arial" panose="020B0604020202020204"/>
                    <a:cs typeface="Arial" panose="020B0604020202020204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val>
            <c:numRef>
              <c:f>(Sumário!$I$14,Sumário!$I$21,Sumário!$I$28,Sumário!$I$35,Sumário!$I$42)</c:f>
              <c:numCache>
                <c:formatCode>0.0%</c:formatCode>
                <c:ptCount val="5"/>
                <c:pt idx="0">
                  <c:v>0.42741935483871</c:v>
                </c:pt>
                <c:pt idx="1">
                  <c:v>0.0645161290322581</c:v>
                </c:pt>
                <c:pt idx="2">
                  <c:v>0.225806451612903</c:v>
                </c:pt>
                <c:pt idx="3">
                  <c:v>0.282258064516129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86990612659904"/>
          <c:y val="0.428571194225722"/>
          <c:w val="0.0788437256153791"/>
          <c:h val="0.514285597112861"/>
        </c:manualLayout>
      </c:layout>
      <c:overlay val="0"/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pt-BR" sz="44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</a:p>
      </c:txPr>
    </c:legend>
    <c:plotVisOnly val="0"/>
    <c:dispBlanksAs val="zero"/>
    <c:showDLblsOverMax val="0"/>
  </c:chart>
  <c:spPr>
    <a:solidFill>
      <a:srgbClr val="FFFFFF"/>
    </a:solidFill>
    <a:ln w="9525" cap="flat" cmpd="sng" algn="ctr">
      <a:noFill/>
      <a:prstDash val="solid"/>
      <a:round/>
    </a:ln>
  </c:spPr>
  <c:txPr>
    <a:bodyPr/>
    <a:lstStyle/>
    <a:p>
      <a:pPr>
        <a:defRPr lang="pt-BR" sz="100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38100</xdr:colOff>
      <xdr:row>43</xdr:row>
      <xdr:rowOff>9525</xdr:rowOff>
    </xdr:from>
    <xdr:to>
      <xdr:col>11</xdr:col>
      <xdr:colOff>419100</xdr:colOff>
      <xdr:row>50</xdr:row>
      <xdr:rowOff>161925</xdr:rowOff>
    </xdr:to>
    <xdr:graphicFrame>
      <xdr:nvGraphicFramePr>
        <xdr:cNvPr id="4022" name="Chart 10"/>
        <xdr:cNvGraphicFramePr/>
      </xdr:nvGraphicFramePr>
      <xdr:xfrm>
        <a:off x="4143375" y="5848350"/>
        <a:ext cx="2114550" cy="121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lan4"/>
  <dimension ref="A1:AD201"/>
  <sheetViews>
    <sheetView showGridLines="0" zoomScale="175" zoomScaleNormal="175" workbookViewId="0">
      <selection activeCell="A8" sqref="A8:T13"/>
    </sheetView>
  </sheetViews>
  <sheetFormatPr defaultColWidth="9" defaultRowHeight="13.5"/>
  <cols>
    <col min="1" max="15" width="2.71428571428571" style="91" customWidth="1"/>
    <col min="16" max="16" width="0.857142857142857" style="91" customWidth="1"/>
    <col min="17" max="17" width="8.28571428571429" style="91" customWidth="1"/>
    <col min="18" max="18" width="4.28571428571429" style="91" customWidth="1"/>
    <col min="19" max="19" width="3.42857142857143" style="91" customWidth="1"/>
    <col min="20" max="20" width="9" style="91" customWidth="1"/>
    <col min="21" max="76" width="2.71428571428571" style="91" customWidth="1"/>
    <col min="77" max="16384" width="9.14285714285714" style="91"/>
  </cols>
  <sheetData>
    <row r="1" ht="12" customHeight="1" spans="1:28">
      <c r="A1" s="126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</row>
    <row r="2" ht="12" customHeight="1" spans="1:28">
      <c r="A2" s="126"/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ht="14.25" customHeight="1" spans="1:28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</row>
    <row r="4" ht="12.75" spans="1:28">
      <c r="A4" s="127" t="s">
        <v>1</v>
      </c>
      <c r="B4" s="127"/>
      <c r="C4" s="127"/>
      <c r="D4" s="127"/>
      <c r="E4" s="127"/>
      <c r="F4" s="128" t="s">
        <v>2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46"/>
      <c r="R4" s="147" t="s">
        <v>3</v>
      </c>
      <c r="S4" s="147"/>
      <c r="T4" s="148">
        <v>1000</v>
      </c>
      <c r="U4" s="147" t="s">
        <v>4</v>
      </c>
      <c r="V4" s="147"/>
      <c r="W4" s="149">
        <f>T4*W5</f>
        <v>124000</v>
      </c>
      <c r="X4" s="149"/>
      <c r="Y4" s="149"/>
      <c r="Z4" s="149"/>
      <c r="AA4" s="149"/>
      <c r="AB4" s="149"/>
    </row>
    <row r="5" ht="12.75" spans="1:28">
      <c r="A5" s="127" t="s">
        <v>5</v>
      </c>
      <c r="B5" s="127"/>
      <c r="C5" s="127"/>
      <c r="D5" s="127"/>
      <c r="E5" s="127"/>
      <c r="F5" s="130" t="s">
        <v>6</v>
      </c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47" t="s">
        <v>7</v>
      </c>
      <c r="V5" s="147"/>
      <c r="W5" s="150">
        <f>SUM(Y10:Y13)</f>
        <v>124</v>
      </c>
      <c r="X5" s="150"/>
      <c r="Y5" s="150"/>
      <c r="Z5" s="150"/>
      <c r="AA5" s="150"/>
      <c r="AB5" s="150"/>
    </row>
    <row r="6" spans="1:28">
      <c r="A6" s="127" t="s">
        <v>8</v>
      </c>
      <c r="B6" s="127"/>
      <c r="C6" s="127"/>
      <c r="D6" s="127"/>
      <c r="E6" s="127"/>
      <c r="F6" s="130" t="s">
        <v>9</v>
      </c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</row>
    <row r="7" spans="1:28">
      <c r="A7" s="127" t="s">
        <v>10</v>
      </c>
      <c r="B7" s="127"/>
      <c r="C7" s="127"/>
      <c r="D7" s="127"/>
      <c r="E7" s="127"/>
      <c r="F7" s="130" t="s">
        <v>11</v>
      </c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51" t="s">
        <v>12</v>
      </c>
      <c r="V7" s="151"/>
      <c r="W7" s="151"/>
      <c r="X7" s="152">
        <v>44208</v>
      </c>
      <c r="Y7" s="152"/>
      <c r="Z7" s="152"/>
      <c r="AA7" s="152"/>
      <c r="AB7" s="152"/>
    </row>
    <row r="8" ht="12.75" spans="1:28">
      <c r="A8" s="127" t="s">
        <v>13</v>
      </c>
      <c r="B8" s="127"/>
      <c r="C8" s="127"/>
      <c r="D8" s="127"/>
      <c r="E8" s="127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51" t="s">
        <v>14</v>
      </c>
      <c r="V8" s="151"/>
      <c r="W8" s="151"/>
      <c r="X8" s="152"/>
      <c r="Y8" s="152"/>
      <c r="Z8" s="152"/>
      <c r="AA8" s="152"/>
      <c r="AB8" s="152"/>
    </row>
    <row r="9" spans="1:30">
      <c r="A9" s="131" t="s">
        <v>15</v>
      </c>
      <c r="B9" s="131"/>
      <c r="C9" s="132" t="s">
        <v>16</v>
      </c>
      <c r="D9" s="132"/>
      <c r="E9" s="132"/>
      <c r="F9" s="132"/>
      <c r="G9" s="132"/>
      <c r="H9" s="132"/>
      <c r="I9" s="132"/>
      <c r="J9" s="132"/>
      <c r="K9" s="132"/>
      <c r="L9" s="143"/>
      <c r="M9" s="34"/>
      <c r="N9" s="34"/>
      <c r="O9" s="144" t="s">
        <v>17</v>
      </c>
      <c r="P9" s="144"/>
      <c r="Q9" s="147" t="s">
        <v>18</v>
      </c>
      <c r="R9" s="147"/>
      <c r="S9" s="147"/>
      <c r="T9" s="147"/>
      <c r="U9" s="147" t="s">
        <v>19</v>
      </c>
      <c r="V9" s="147"/>
      <c r="W9" s="147"/>
      <c r="X9" s="147"/>
      <c r="Y9" s="147" t="s">
        <v>20</v>
      </c>
      <c r="Z9" s="147"/>
      <c r="AA9" s="147"/>
      <c r="AB9" s="147"/>
      <c r="AC9" s="156"/>
      <c r="AD9" s="156"/>
    </row>
    <row r="10" ht="12.75" spans="1:28">
      <c r="A10" s="131"/>
      <c r="B10" s="131"/>
      <c r="C10" s="132" t="s">
        <v>21</v>
      </c>
      <c r="D10" s="132"/>
      <c r="E10" s="132"/>
      <c r="F10" s="132"/>
      <c r="G10" s="132"/>
      <c r="H10" s="132"/>
      <c r="I10" s="132"/>
      <c r="J10" s="132"/>
      <c r="K10" s="132"/>
      <c r="L10" s="143" t="s">
        <v>22</v>
      </c>
      <c r="M10" s="34"/>
      <c r="N10" s="34"/>
      <c r="O10" s="144"/>
      <c r="P10" s="144"/>
      <c r="Q10" s="151" t="s">
        <v>23</v>
      </c>
      <c r="R10" s="151"/>
      <c r="S10" s="150">
        <f>Sumário!E55</f>
        <v>124</v>
      </c>
      <c r="T10" s="150"/>
      <c r="U10" s="153">
        <v>1</v>
      </c>
      <c r="V10" s="153"/>
      <c r="W10" s="153"/>
      <c r="X10" s="153"/>
      <c r="Y10" s="150">
        <f>S10*U10</f>
        <v>124</v>
      </c>
      <c r="Z10" s="150"/>
      <c r="AA10" s="150"/>
      <c r="AB10" s="150"/>
    </row>
    <row r="11" ht="12.75" spans="1:28">
      <c r="A11" s="131"/>
      <c r="B11" s="131"/>
      <c r="C11" s="133" t="s">
        <v>24</v>
      </c>
      <c r="D11" s="134"/>
      <c r="E11" s="134"/>
      <c r="F11" s="134"/>
      <c r="G11" s="134"/>
      <c r="H11" s="134"/>
      <c r="I11" s="134"/>
      <c r="J11" s="134"/>
      <c r="K11" s="132"/>
      <c r="L11" s="143" t="s">
        <v>22</v>
      </c>
      <c r="M11" s="34"/>
      <c r="N11" s="34"/>
      <c r="O11" s="144"/>
      <c r="P11" s="144"/>
      <c r="Q11" s="154" t="s">
        <v>25</v>
      </c>
      <c r="R11" s="154"/>
      <c r="S11" s="150">
        <f>Sumário!E56</f>
        <v>0</v>
      </c>
      <c r="T11" s="150"/>
      <c r="U11" s="153">
        <v>1</v>
      </c>
      <c r="V11" s="153"/>
      <c r="W11" s="153"/>
      <c r="X11" s="153"/>
      <c r="Y11" s="150">
        <f>S11*U11</f>
        <v>0</v>
      </c>
      <c r="Z11" s="150"/>
      <c r="AA11" s="150"/>
      <c r="AB11" s="150"/>
    </row>
    <row r="12" ht="12.75" spans="1:28">
      <c r="A12" s="131"/>
      <c r="B12" s="131"/>
      <c r="C12" s="133" t="s">
        <v>26</v>
      </c>
      <c r="D12" s="134"/>
      <c r="E12" s="134"/>
      <c r="F12" s="134"/>
      <c r="G12" s="134"/>
      <c r="H12" s="134"/>
      <c r="I12" s="134"/>
      <c r="J12" s="134"/>
      <c r="K12" s="132"/>
      <c r="L12" s="143"/>
      <c r="M12" s="34"/>
      <c r="N12" s="34"/>
      <c r="O12" s="144"/>
      <c r="P12" s="144"/>
      <c r="Q12" s="154" t="s">
        <v>27</v>
      </c>
      <c r="R12" s="154"/>
      <c r="S12" s="150">
        <f>Sumário!E57</f>
        <v>0</v>
      </c>
      <c r="T12" s="150"/>
      <c r="U12" s="153">
        <v>1</v>
      </c>
      <c r="V12" s="153"/>
      <c r="W12" s="153"/>
      <c r="X12" s="153"/>
      <c r="Y12" s="150">
        <f>S12*U12</f>
        <v>0</v>
      </c>
      <c r="Z12" s="150"/>
      <c r="AA12" s="150"/>
      <c r="AB12" s="150"/>
    </row>
    <row r="13" ht="12.75" spans="1:28">
      <c r="A13" s="131"/>
      <c r="B13" s="131"/>
      <c r="C13" s="133" t="s">
        <v>28</v>
      </c>
      <c r="D13" s="134"/>
      <c r="E13" s="134"/>
      <c r="F13" s="134"/>
      <c r="G13" s="134"/>
      <c r="H13" s="134"/>
      <c r="I13" s="134"/>
      <c r="J13" s="134"/>
      <c r="K13" s="132"/>
      <c r="L13" s="143"/>
      <c r="M13" s="34"/>
      <c r="N13" s="34"/>
      <c r="O13" s="144"/>
      <c r="P13" s="144"/>
      <c r="Q13" s="154"/>
      <c r="R13" s="154"/>
      <c r="S13" s="150">
        <f>Sumário!E58</f>
        <v>0</v>
      </c>
      <c r="T13" s="150"/>
      <c r="U13" s="153"/>
      <c r="V13" s="153"/>
      <c r="W13" s="153"/>
      <c r="X13" s="153"/>
      <c r="Y13" s="150">
        <f>S13*U13</f>
        <v>0</v>
      </c>
      <c r="Z13" s="150"/>
      <c r="AA13" s="150"/>
      <c r="AB13" s="150"/>
    </row>
    <row r="14" ht="12" customHeight="1" spans="5:19"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55"/>
      <c r="S14" s="135"/>
    </row>
    <row r="15" ht="12" customHeight="1" spans="2:19">
      <c r="B15" s="136"/>
      <c r="C15" s="136"/>
      <c r="F15" s="136"/>
      <c r="G15" s="136"/>
      <c r="H15" s="136"/>
      <c r="I15" s="136"/>
      <c r="J15" s="135"/>
      <c r="K15" s="145" t="s">
        <v>29</v>
      </c>
      <c r="L15" s="145"/>
      <c r="M15" s="145"/>
      <c r="N15" s="145"/>
      <c r="O15" s="145"/>
      <c r="P15" s="145"/>
      <c r="Q15" s="145"/>
      <c r="R15" s="145"/>
      <c r="S15" s="145"/>
    </row>
    <row r="16" ht="12" customHeight="1" spans="1:28">
      <c r="A16" s="137" t="s">
        <v>30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57"/>
    </row>
    <row r="17" ht="12" customHeight="1" spans="1:28">
      <c r="A17" s="139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58"/>
    </row>
    <row r="18" ht="12" customHeight="1" spans="1:28">
      <c r="A18" s="139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58"/>
    </row>
    <row r="19" ht="12" customHeight="1" spans="1:28">
      <c r="A19" s="139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58"/>
    </row>
    <row r="20" ht="12" customHeight="1" spans="1:28">
      <c r="A20" s="139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58"/>
    </row>
    <row r="21" ht="12" customHeight="1" spans="1:28">
      <c r="A21" s="139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58"/>
    </row>
    <row r="22" ht="12" customHeight="1" spans="1:28">
      <c r="A22" s="139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58"/>
    </row>
    <row r="23" ht="12" customHeight="1" spans="1:28">
      <c r="A23" s="141"/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2"/>
      <c r="AB23" s="159"/>
    </row>
    <row r="24" ht="12" customHeight="1" spans="1:10">
      <c r="A24" s="135"/>
      <c r="B24" s="135"/>
      <c r="C24" s="135"/>
      <c r="D24" s="135"/>
      <c r="E24" s="135"/>
      <c r="F24" s="135"/>
      <c r="G24" s="135"/>
      <c r="H24" s="135"/>
      <c r="I24" s="135"/>
      <c r="J24" s="135"/>
    </row>
    <row r="25" ht="12" customHeight="1" spans="1:19">
      <c r="A25" s="135"/>
      <c r="B25" s="135"/>
      <c r="C25" s="135"/>
      <c r="D25" s="135"/>
      <c r="E25" s="135"/>
      <c r="F25" s="135"/>
      <c r="G25" s="135"/>
      <c r="H25" s="135"/>
      <c r="I25" s="135"/>
      <c r="J25" s="135"/>
      <c r="K25" s="145" t="s">
        <v>31</v>
      </c>
      <c r="L25" s="145"/>
      <c r="M25" s="145"/>
      <c r="N25" s="145"/>
      <c r="O25" s="145"/>
      <c r="P25" s="145"/>
      <c r="Q25" s="145"/>
      <c r="R25" s="145"/>
      <c r="S25" s="145"/>
    </row>
    <row r="26" ht="12" customHeight="1" spans="1:28">
      <c r="A26" s="137" t="s">
        <v>32</v>
      </c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57"/>
    </row>
    <row r="27" ht="12" customHeight="1" spans="1:28">
      <c r="A27" s="139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58"/>
    </row>
    <row r="28" ht="12" customHeight="1" spans="1:28">
      <c r="A28" s="139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58"/>
    </row>
    <row r="29" ht="12" customHeight="1" spans="1:28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58"/>
    </row>
    <row r="30" ht="12" customHeight="1" spans="1:28">
      <c r="A30" s="139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58"/>
    </row>
    <row r="31" ht="12" customHeight="1" spans="1:28">
      <c r="A31" s="139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58"/>
    </row>
    <row r="32" ht="12" customHeight="1" spans="1:28">
      <c r="A32" s="139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58"/>
    </row>
    <row r="33" ht="12" customHeight="1" spans="1:28">
      <c r="A33" s="141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59"/>
    </row>
    <row r="34" ht="12" customHeight="1" spans="2:10">
      <c r="B34" s="135"/>
      <c r="C34" s="135"/>
      <c r="D34" s="135"/>
      <c r="E34" s="135"/>
      <c r="F34" s="135"/>
      <c r="G34" s="135"/>
      <c r="H34" s="135"/>
      <c r="I34" s="135"/>
      <c r="J34" s="135"/>
    </row>
    <row r="35" ht="12" customHeight="1" spans="2:10">
      <c r="B35" s="135"/>
      <c r="C35" s="135"/>
      <c r="D35" s="135"/>
      <c r="E35" s="135"/>
      <c r="F35" s="135"/>
      <c r="G35" s="135"/>
      <c r="H35" s="135"/>
      <c r="I35" s="135"/>
      <c r="J35" s="135"/>
    </row>
    <row r="36" ht="12" customHeight="1" spans="2:10">
      <c r="B36" s="135"/>
      <c r="C36" s="135"/>
      <c r="D36" s="135"/>
      <c r="E36" s="135"/>
      <c r="F36" s="135"/>
      <c r="G36" s="135"/>
      <c r="H36" s="135"/>
      <c r="I36" s="135"/>
      <c r="J36" s="135"/>
    </row>
    <row r="37" ht="12" customHeight="1" spans="2:10">
      <c r="B37" s="135"/>
      <c r="C37" s="135"/>
      <c r="D37" s="135"/>
      <c r="E37" s="135"/>
      <c r="F37" s="135"/>
      <c r="G37" s="135"/>
      <c r="H37" s="135"/>
      <c r="I37" s="135"/>
      <c r="J37" s="135"/>
    </row>
    <row r="38" ht="12" customHeight="1" spans="2:10">
      <c r="B38" s="135"/>
      <c r="C38" s="135"/>
      <c r="D38" s="135"/>
      <c r="E38" s="135"/>
      <c r="F38" s="135"/>
      <c r="G38" s="135"/>
      <c r="H38" s="135"/>
      <c r="I38" s="135"/>
      <c r="J38" s="135"/>
    </row>
    <row r="39" ht="12" customHeight="1" spans="2:10">
      <c r="B39" s="135"/>
      <c r="C39" s="135"/>
      <c r="D39" s="135"/>
      <c r="E39" s="135"/>
      <c r="F39" s="135"/>
      <c r="G39" s="135"/>
      <c r="H39" s="135"/>
      <c r="I39" s="135"/>
      <c r="J39" s="135"/>
    </row>
    <row r="40" ht="12" customHeight="1" spans="2:10">
      <c r="B40" s="135"/>
      <c r="C40" s="135"/>
      <c r="D40" s="135"/>
      <c r="E40" s="135"/>
      <c r="F40" s="135"/>
      <c r="G40" s="135"/>
      <c r="H40" s="135"/>
      <c r="I40" s="135"/>
      <c r="J40" s="135"/>
    </row>
    <row r="41" ht="12" customHeight="1" spans="2:10">
      <c r="B41" s="135"/>
      <c r="C41" s="135"/>
      <c r="D41" s="135"/>
      <c r="E41" s="135"/>
      <c r="F41" s="135"/>
      <c r="G41" s="135"/>
      <c r="H41" s="135"/>
      <c r="I41" s="135"/>
      <c r="J41" s="135"/>
    </row>
    <row r="42" ht="12" customHeight="1" spans="2:10">
      <c r="B42" s="135"/>
      <c r="C42" s="135"/>
      <c r="D42" s="135"/>
      <c r="E42" s="135"/>
      <c r="F42" s="135"/>
      <c r="G42" s="135"/>
      <c r="H42" s="135"/>
      <c r="I42" s="135"/>
      <c r="J42" s="135"/>
    </row>
    <row r="43" ht="12" customHeight="1" spans="2:10">
      <c r="B43" s="135"/>
      <c r="C43" s="135"/>
      <c r="D43" s="135"/>
      <c r="E43" s="135"/>
      <c r="F43" s="135"/>
      <c r="G43" s="135"/>
      <c r="H43" s="135"/>
      <c r="I43" s="135"/>
      <c r="J43" s="135"/>
    </row>
    <row r="44" ht="12" customHeight="1" spans="2:10">
      <c r="B44" s="135"/>
      <c r="C44" s="135"/>
      <c r="D44" s="135"/>
      <c r="E44" s="135"/>
      <c r="F44" s="135"/>
      <c r="G44" s="135"/>
      <c r="H44" s="135"/>
      <c r="I44" s="135"/>
      <c r="J44" s="135"/>
    </row>
    <row r="45" ht="12" customHeight="1" spans="2:10">
      <c r="B45" s="135"/>
      <c r="C45" s="135"/>
      <c r="D45" s="135"/>
      <c r="E45" s="135"/>
      <c r="F45" s="135"/>
      <c r="G45" s="135"/>
      <c r="H45" s="135"/>
      <c r="I45" s="135"/>
      <c r="J45" s="135"/>
    </row>
    <row r="46" ht="12" customHeight="1" spans="2:10">
      <c r="B46" s="135"/>
      <c r="C46" s="135"/>
      <c r="D46" s="135"/>
      <c r="E46" s="135"/>
      <c r="F46" s="135"/>
      <c r="G46" s="135"/>
      <c r="H46" s="135"/>
      <c r="I46" s="135"/>
      <c r="J46" s="135"/>
    </row>
    <row r="47" ht="12" customHeight="1" spans="2:10">
      <c r="B47" s="135"/>
      <c r="C47" s="135"/>
      <c r="D47" s="135"/>
      <c r="E47" s="135"/>
      <c r="F47" s="135"/>
      <c r="G47" s="135"/>
      <c r="H47" s="135"/>
      <c r="I47" s="135"/>
      <c r="J47" s="135"/>
    </row>
    <row r="48" ht="12" customHeight="1" spans="2:10">
      <c r="B48" s="135"/>
      <c r="C48" s="135"/>
      <c r="D48" s="135"/>
      <c r="E48" s="135"/>
      <c r="F48" s="135"/>
      <c r="G48" s="135"/>
      <c r="H48" s="135"/>
      <c r="I48" s="135"/>
      <c r="J48" s="135"/>
    </row>
    <row r="49" ht="12" customHeight="1" spans="2:10">
      <c r="B49" s="135"/>
      <c r="C49" s="135"/>
      <c r="D49" s="135"/>
      <c r="E49" s="135"/>
      <c r="F49" s="135"/>
      <c r="G49" s="135"/>
      <c r="H49" s="135"/>
      <c r="I49" s="135"/>
      <c r="J49" s="135"/>
    </row>
    <row r="50" ht="12" customHeight="1" spans="2:10">
      <c r="B50" s="135"/>
      <c r="C50" s="135"/>
      <c r="D50" s="135"/>
      <c r="E50" s="135"/>
      <c r="F50" s="135"/>
      <c r="G50" s="135"/>
      <c r="H50" s="135"/>
      <c r="I50" s="135"/>
      <c r="J50" s="135"/>
    </row>
    <row r="51" ht="12" customHeight="1" spans="2:10">
      <c r="B51" s="135"/>
      <c r="C51" s="135"/>
      <c r="D51" s="135"/>
      <c r="E51" s="135"/>
      <c r="F51" s="135"/>
      <c r="G51" s="135"/>
      <c r="H51" s="135"/>
      <c r="I51" s="135"/>
      <c r="J51" s="135"/>
    </row>
    <row r="52" ht="12" customHeight="1" spans="2:10">
      <c r="B52" s="135"/>
      <c r="C52" s="135"/>
      <c r="D52" s="135"/>
      <c r="E52" s="135"/>
      <c r="F52" s="135"/>
      <c r="G52" s="135"/>
      <c r="H52" s="135"/>
      <c r="I52" s="135"/>
      <c r="J52" s="135"/>
    </row>
    <row r="53" ht="12" customHeight="1" spans="2:10">
      <c r="B53" s="135"/>
      <c r="C53" s="135"/>
      <c r="D53" s="135"/>
      <c r="E53" s="135"/>
      <c r="F53" s="135"/>
      <c r="G53" s="135"/>
      <c r="H53" s="135"/>
      <c r="I53" s="135"/>
      <c r="J53" s="135"/>
    </row>
    <row r="54" ht="12" customHeight="1" spans="2:10">
      <c r="B54" s="135"/>
      <c r="C54" s="135"/>
      <c r="D54" s="135"/>
      <c r="E54" s="135"/>
      <c r="F54" s="135"/>
      <c r="G54" s="135"/>
      <c r="H54" s="135"/>
      <c r="I54" s="135"/>
      <c r="J54" s="135"/>
    </row>
    <row r="55" ht="12" customHeight="1" spans="2:10">
      <c r="B55" s="135"/>
      <c r="C55" s="135"/>
      <c r="D55" s="135"/>
      <c r="E55" s="135"/>
      <c r="F55" s="135"/>
      <c r="G55" s="135"/>
      <c r="H55" s="135"/>
      <c r="I55" s="135"/>
      <c r="J55" s="135"/>
    </row>
    <row r="56" ht="12" customHeight="1" spans="2:10">
      <c r="B56" s="135"/>
      <c r="C56" s="135"/>
      <c r="D56" s="135"/>
      <c r="E56" s="135"/>
      <c r="F56" s="135"/>
      <c r="G56" s="135"/>
      <c r="H56" s="135"/>
      <c r="I56" s="135"/>
      <c r="J56" s="135"/>
    </row>
    <row r="57" ht="12" customHeight="1" spans="2:10">
      <c r="B57" s="135"/>
      <c r="C57" s="135"/>
      <c r="D57" s="135"/>
      <c r="E57" s="135"/>
      <c r="F57" s="135"/>
      <c r="G57" s="135"/>
      <c r="H57" s="135"/>
      <c r="I57" s="135"/>
      <c r="J57" s="135"/>
    </row>
    <row r="58" ht="12" customHeight="1" spans="2:10">
      <c r="B58" s="135"/>
      <c r="C58" s="135"/>
      <c r="D58" s="135"/>
      <c r="E58" s="135"/>
      <c r="F58" s="135"/>
      <c r="G58" s="135"/>
      <c r="H58" s="135"/>
      <c r="I58" s="135"/>
      <c r="J58" s="135"/>
    </row>
    <row r="59" ht="12" customHeight="1" spans="2:10">
      <c r="B59" s="135"/>
      <c r="C59" s="135"/>
      <c r="D59" s="135"/>
      <c r="E59" s="135"/>
      <c r="F59" s="135"/>
      <c r="G59" s="135"/>
      <c r="H59" s="135"/>
      <c r="I59" s="135"/>
      <c r="J59" s="135"/>
    </row>
    <row r="60" ht="12" customHeight="1" spans="2:10">
      <c r="B60" s="135"/>
      <c r="C60" s="135"/>
      <c r="D60" s="135"/>
      <c r="E60" s="135"/>
      <c r="F60" s="135"/>
      <c r="G60" s="135"/>
      <c r="H60" s="135"/>
      <c r="I60" s="135"/>
      <c r="J60" s="135"/>
    </row>
    <row r="61" ht="12" customHeight="1" spans="2:10">
      <c r="B61" s="135"/>
      <c r="C61" s="135"/>
      <c r="D61" s="135"/>
      <c r="E61" s="135"/>
      <c r="F61" s="135"/>
      <c r="G61" s="135"/>
      <c r="H61" s="135"/>
      <c r="I61" s="135"/>
      <c r="J61" s="135"/>
    </row>
    <row r="62" ht="12" customHeight="1" spans="2:10">
      <c r="B62" s="135"/>
      <c r="C62" s="135"/>
      <c r="D62" s="135"/>
      <c r="E62" s="135"/>
      <c r="F62" s="135"/>
      <c r="G62" s="135"/>
      <c r="H62" s="135"/>
      <c r="I62" s="135"/>
      <c r="J62" s="135"/>
    </row>
    <row r="63" ht="12" customHeight="1" spans="2:10">
      <c r="B63" s="135"/>
      <c r="C63" s="135"/>
      <c r="D63" s="135"/>
      <c r="E63" s="135"/>
      <c r="F63" s="135"/>
      <c r="G63" s="135"/>
      <c r="H63" s="135"/>
      <c r="I63" s="135"/>
      <c r="J63" s="135"/>
    </row>
    <row r="64" ht="12" customHeight="1" spans="2:10">
      <c r="B64" s="135"/>
      <c r="C64" s="135"/>
      <c r="D64" s="135"/>
      <c r="E64" s="135"/>
      <c r="F64" s="135"/>
      <c r="G64" s="135"/>
      <c r="H64" s="135"/>
      <c r="I64" s="135"/>
      <c r="J64" s="135"/>
    </row>
    <row r="65" ht="12" customHeight="1" spans="2:10">
      <c r="B65" s="135"/>
      <c r="C65" s="135"/>
      <c r="D65" s="135"/>
      <c r="E65" s="135"/>
      <c r="F65" s="135"/>
      <c r="G65" s="135"/>
      <c r="H65" s="135"/>
      <c r="I65" s="135"/>
      <c r="J65" s="135"/>
    </row>
    <row r="66" ht="12" customHeight="1" spans="2:10">
      <c r="B66" s="135"/>
      <c r="C66" s="135"/>
      <c r="D66" s="135"/>
      <c r="E66" s="135"/>
      <c r="F66" s="135"/>
      <c r="G66" s="135"/>
      <c r="H66" s="135"/>
      <c r="I66" s="135"/>
      <c r="J66" s="135"/>
    </row>
    <row r="67" ht="12" customHeight="1" spans="2:10">
      <c r="B67" s="135"/>
      <c r="C67" s="135"/>
      <c r="D67" s="135"/>
      <c r="E67" s="135"/>
      <c r="F67" s="135"/>
      <c r="G67" s="135"/>
      <c r="H67" s="135"/>
      <c r="I67" s="135"/>
      <c r="J67" s="135"/>
    </row>
    <row r="68" ht="12" customHeight="1" spans="2:10">
      <c r="B68" s="135"/>
      <c r="C68" s="135"/>
      <c r="D68" s="135"/>
      <c r="E68" s="135"/>
      <c r="F68" s="135"/>
      <c r="G68" s="135"/>
      <c r="H68" s="135"/>
      <c r="I68" s="135"/>
      <c r="J68" s="135"/>
    </row>
    <row r="69" ht="12" customHeight="1" spans="2:10">
      <c r="B69" s="135"/>
      <c r="C69" s="135"/>
      <c r="D69" s="135"/>
      <c r="E69" s="135"/>
      <c r="F69" s="135"/>
      <c r="G69" s="135"/>
      <c r="H69" s="135"/>
      <c r="I69" s="135"/>
      <c r="J69" s="135"/>
    </row>
    <row r="70" ht="12" customHeight="1" spans="2:10">
      <c r="B70" s="135"/>
      <c r="C70" s="135"/>
      <c r="D70" s="135"/>
      <c r="E70" s="135"/>
      <c r="F70" s="135"/>
      <c r="G70" s="135"/>
      <c r="H70" s="135"/>
      <c r="I70" s="135"/>
      <c r="J70" s="135"/>
    </row>
    <row r="71" ht="12" customHeight="1" spans="2:10">
      <c r="B71" s="135"/>
      <c r="C71" s="135"/>
      <c r="D71" s="135"/>
      <c r="E71" s="135"/>
      <c r="F71" s="135"/>
      <c r="G71" s="135"/>
      <c r="H71" s="135"/>
      <c r="I71" s="135"/>
      <c r="J71" s="135"/>
    </row>
    <row r="72" ht="12" customHeight="1" spans="2:10">
      <c r="B72" s="135"/>
      <c r="C72" s="135"/>
      <c r="D72" s="135"/>
      <c r="E72" s="135"/>
      <c r="F72" s="135"/>
      <c r="G72" s="135"/>
      <c r="H72" s="135"/>
      <c r="I72" s="135"/>
      <c r="J72" s="135"/>
    </row>
    <row r="73" ht="12" customHeight="1" spans="2:10">
      <c r="B73" s="135"/>
      <c r="C73" s="135"/>
      <c r="D73" s="135"/>
      <c r="E73" s="135"/>
      <c r="F73" s="135"/>
      <c r="G73" s="135"/>
      <c r="H73" s="135"/>
      <c r="I73" s="135"/>
      <c r="J73" s="135"/>
    </row>
    <row r="74" ht="12" customHeight="1" spans="2:10">
      <c r="B74" s="135"/>
      <c r="C74" s="135"/>
      <c r="D74" s="135"/>
      <c r="E74" s="135"/>
      <c r="F74" s="135"/>
      <c r="G74" s="135"/>
      <c r="H74" s="135"/>
      <c r="I74" s="135"/>
      <c r="J74" s="135"/>
    </row>
    <row r="75" ht="12" customHeight="1" spans="2:10">
      <c r="B75" s="135"/>
      <c r="C75" s="135"/>
      <c r="D75" s="135"/>
      <c r="E75" s="135"/>
      <c r="F75" s="135"/>
      <c r="G75" s="135"/>
      <c r="H75" s="135"/>
      <c r="I75" s="135"/>
      <c r="J75" s="135"/>
    </row>
    <row r="76" ht="12" customHeight="1" spans="2:10">
      <c r="B76" s="135"/>
      <c r="C76" s="135"/>
      <c r="D76" s="135"/>
      <c r="E76" s="135"/>
      <c r="F76" s="135"/>
      <c r="G76" s="135"/>
      <c r="H76" s="135"/>
      <c r="I76" s="135"/>
      <c r="J76" s="135"/>
    </row>
    <row r="77" ht="12" customHeight="1" spans="2:10">
      <c r="B77" s="135"/>
      <c r="C77" s="135"/>
      <c r="D77" s="135"/>
      <c r="E77" s="135"/>
      <c r="F77" s="135"/>
      <c r="G77" s="135"/>
      <c r="H77" s="135"/>
      <c r="I77" s="135"/>
      <c r="J77" s="135"/>
    </row>
    <row r="78" ht="12" customHeight="1" spans="2:10">
      <c r="B78" s="135"/>
      <c r="C78" s="135"/>
      <c r="D78" s="135"/>
      <c r="E78" s="135"/>
      <c r="F78" s="135"/>
      <c r="G78" s="135"/>
      <c r="H78" s="135"/>
      <c r="I78" s="135"/>
      <c r="J78" s="135"/>
    </row>
    <row r="79" ht="12" customHeight="1" spans="2:10">
      <c r="B79" s="135"/>
      <c r="C79" s="135"/>
      <c r="D79" s="135"/>
      <c r="E79" s="135"/>
      <c r="F79" s="135"/>
      <c r="G79" s="135"/>
      <c r="H79" s="135"/>
      <c r="I79" s="135"/>
      <c r="J79" s="135"/>
    </row>
    <row r="80" ht="12" customHeight="1" spans="2:10">
      <c r="B80" s="135"/>
      <c r="C80" s="135"/>
      <c r="D80" s="135"/>
      <c r="E80" s="135"/>
      <c r="F80" s="135"/>
      <c r="G80" s="135"/>
      <c r="H80" s="135"/>
      <c r="I80" s="135"/>
      <c r="J80" s="135"/>
    </row>
    <row r="81" ht="12" customHeight="1" spans="2:10">
      <c r="B81" s="135"/>
      <c r="C81" s="135"/>
      <c r="D81" s="135"/>
      <c r="E81" s="135"/>
      <c r="F81" s="135"/>
      <c r="G81" s="135"/>
      <c r="H81" s="135"/>
      <c r="I81" s="135"/>
      <c r="J81" s="135"/>
    </row>
    <row r="82" ht="12" customHeight="1" spans="2:10">
      <c r="B82" s="135"/>
      <c r="C82" s="135"/>
      <c r="D82" s="135"/>
      <c r="E82" s="135"/>
      <c r="F82" s="135"/>
      <c r="G82" s="135"/>
      <c r="H82" s="135"/>
      <c r="I82" s="135"/>
      <c r="J82" s="135"/>
    </row>
    <row r="83" ht="12" customHeight="1" spans="2:10">
      <c r="B83" s="135"/>
      <c r="C83" s="135"/>
      <c r="D83" s="135"/>
      <c r="E83" s="135"/>
      <c r="F83" s="135"/>
      <c r="G83" s="135"/>
      <c r="H83" s="135"/>
      <c r="I83" s="135"/>
      <c r="J83" s="135"/>
    </row>
    <row r="84" ht="12" customHeight="1" spans="2:10">
      <c r="B84" s="135"/>
      <c r="C84" s="135"/>
      <c r="D84" s="135"/>
      <c r="E84" s="135"/>
      <c r="F84" s="135"/>
      <c r="G84" s="135"/>
      <c r="H84" s="135"/>
      <c r="I84" s="135"/>
      <c r="J84" s="135"/>
    </row>
    <row r="85" ht="12" customHeight="1" spans="2:10">
      <c r="B85" s="135"/>
      <c r="C85" s="135"/>
      <c r="D85" s="135"/>
      <c r="E85" s="135"/>
      <c r="F85" s="135"/>
      <c r="G85" s="135"/>
      <c r="H85" s="135"/>
      <c r="I85" s="135"/>
      <c r="J85" s="135"/>
    </row>
    <row r="86" ht="12" customHeight="1" spans="2:10">
      <c r="B86" s="135"/>
      <c r="C86" s="135"/>
      <c r="D86" s="135"/>
      <c r="E86" s="135"/>
      <c r="F86" s="135"/>
      <c r="G86" s="135"/>
      <c r="H86" s="135"/>
      <c r="I86" s="135"/>
      <c r="J86" s="135"/>
    </row>
    <row r="87" ht="12" customHeight="1" spans="1:10">
      <c r="A87" s="136"/>
      <c r="B87" s="136"/>
      <c r="C87" s="136"/>
      <c r="D87" s="136"/>
      <c r="E87" s="136"/>
      <c r="F87" s="136"/>
      <c r="G87" s="136"/>
      <c r="H87" s="136"/>
      <c r="I87" s="136"/>
      <c r="J87" s="136"/>
    </row>
    <row r="88" ht="12" customHeight="1" spans="2:10">
      <c r="B88" s="135"/>
      <c r="C88" s="135"/>
      <c r="D88" s="135"/>
      <c r="E88" s="135"/>
      <c r="F88" s="135"/>
      <c r="G88" s="135"/>
      <c r="H88" s="135"/>
      <c r="I88" s="135"/>
      <c r="J88" s="135"/>
    </row>
    <row r="89" ht="12" customHeight="1" spans="2:10">
      <c r="B89" s="135"/>
      <c r="C89" s="135"/>
      <c r="D89" s="135"/>
      <c r="E89" s="135"/>
      <c r="F89" s="135"/>
      <c r="G89" s="135"/>
      <c r="H89" s="135"/>
      <c r="I89" s="135"/>
      <c r="J89" s="135"/>
    </row>
    <row r="90" ht="12" customHeight="1" spans="2:10">
      <c r="B90" s="135"/>
      <c r="C90" s="135"/>
      <c r="D90" s="135"/>
      <c r="E90" s="135"/>
      <c r="F90" s="135"/>
      <c r="G90" s="135"/>
      <c r="H90" s="135"/>
      <c r="I90" s="135"/>
      <c r="J90" s="135"/>
    </row>
    <row r="91" ht="12" customHeight="1" spans="2:10">
      <c r="B91" s="135"/>
      <c r="C91" s="135"/>
      <c r="D91" s="135"/>
      <c r="E91" s="135"/>
      <c r="F91" s="135"/>
      <c r="G91" s="135"/>
      <c r="H91" s="135"/>
      <c r="I91" s="135"/>
      <c r="J91" s="135"/>
    </row>
    <row r="92" ht="12" customHeight="1" spans="2:10">
      <c r="B92" s="135"/>
      <c r="C92" s="135"/>
      <c r="D92" s="135"/>
      <c r="E92" s="135"/>
      <c r="F92" s="135"/>
      <c r="G92" s="135"/>
      <c r="H92" s="135"/>
      <c r="I92" s="135"/>
      <c r="J92" s="135"/>
    </row>
    <row r="93" ht="12" customHeight="1" spans="2:10">
      <c r="B93" s="135"/>
      <c r="C93" s="135"/>
      <c r="D93" s="135"/>
      <c r="E93" s="135"/>
      <c r="F93" s="135"/>
      <c r="G93" s="135"/>
      <c r="H93" s="135"/>
      <c r="I93" s="135"/>
      <c r="J93" s="135"/>
    </row>
    <row r="94" ht="12" customHeight="1" spans="2:10">
      <c r="B94" s="135"/>
      <c r="C94" s="135"/>
      <c r="D94" s="135"/>
      <c r="E94" s="135"/>
      <c r="F94" s="135"/>
      <c r="G94" s="135"/>
      <c r="H94" s="135"/>
      <c r="I94" s="135"/>
      <c r="J94" s="135"/>
    </row>
    <row r="95" ht="12" customHeight="1" spans="2:10">
      <c r="B95" s="135"/>
      <c r="C95" s="135"/>
      <c r="D95" s="135"/>
      <c r="E95" s="135"/>
      <c r="F95" s="135"/>
      <c r="G95" s="135"/>
      <c r="H95" s="135"/>
      <c r="I95" s="135"/>
      <c r="J95" s="135"/>
    </row>
    <row r="96" ht="12" customHeight="1" spans="2:10">
      <c r="B96" s="135"/>
      <c r="C96" s="135"/>
      <c r="D96" s="135"/>
      <c r="E96" s="135"/>
      <c r="F96" s="135"/>
      <c r="G96" s="135"/>
      <c r="H96" s="135"/>
      <c r="I96" s="135"/>
      <c r="J96" s="135"/>
    </row>
    <row r="97" ht="12" customHeight="1" spans="2:10">
      <c r="B97" s="135"/>
      <c r="C97" s="135"/>
      <c r="D97" s="135"/>
      <c r="E97" s="135"/>
      <c r="F97" s="135"/>
      <c r="G97" s="135"/>
      <c r="H97" s="135"/>
      <c r="I97" s="135"/>
      <c r="J97" s="135"/>
    </row>
    <row r="98" ht="12" customHeight="1" spans="2:10">
      <c r="B98" s="135"/>
      <c r="C98" s="135"/>
      <c r="D98" s="135"/>
      <c r="E98" s="135"/>
      <c r="F98" s="135"/>
      <c r="G98" s="135"/>
      <c r="H98" s="135"/>
      <c r="I98" s="135"/>
      <c r="J98" s="135"/>
    </row>
    <row r="99" ht="12" customHeight="1" spans="2:10">
      <c r="B99" s="135"/>
      <c r="C99" s="135"/>
      <c r="D99" s="135"/>
      <c r="E99" s="135"/>
      <c r="F99" s="135"/>
      <c r="G99" s="135"/>
      <c r="H99" s="135"/>
      <c r="I99" s="135"/>
      <c r="J99" s="135"/>
    </row>
    <row r="100" ht="12" customHeight="1" spans="2:10">
      <c r="B100" s="135"/>
      <c r="C100" s="135"/>
      <c r="D100" s="135"/>
      <c r="E100" s="135"/>
      <c r="F100" s="135"/>
      <c r="G100" s="135"/>
      <c r="H100" s="135"/>
      <c r="I100" s="135"/>
      <c r="J100" s="135"/>
    </row>
    <row r="101" ht="12" customHeight="1" spans="2:10">
      <c r="B101" s="135"/>
      <c r="C101" s="135"/>
      <c r="D101" s="135"/>
      <c r="E101" s="135"/>
      <c r="F101" s="135"/>
      <c r="G101" s="135"/>
      <c r="H101" s="135"/>
      <c r="I101" s="135"/>
      <c r="J101" s="135"/>
    </row>
    <row r="102" ht="12" customHeight="1" spans="2:10">
      <c r="B102" s="135"/>
      <c r="C102" s="135"/>
      <c r="D102" s="135"/>
      <c r="E102" s="135"/>
      <c r="F102" s="135"/>
      <c r="G102" s="135"/>
      <c r="H102" s="135"/>
      <c r="I102" s="135"/>
      <c r="J102" s="135"/>
    </row>
    <row r="103" ht="12" customHeight="1" spans="2:10">
      <c r="B103" s="135"/>
      <c r="C103" s="135"/>
      <c r="D103" s="135"/>
      <c r="E103" s="135"/>
      <c r="F103" s="135"/>
      <c r="G103" s="135"/>
      <c r="H103" s="135"/>
      <c r="I103" s="135"/>
      <c r="J103" s="135"/>
    </row>
    <row r="104" ht="12" customHeight="1" spans="2:10">
      <c r="B104" s="135"/>
      <c r="C104" s="135"/>
      <c r="D104" s="135"/>
      <c r="E104" s="135"/>
      <c r="F104" s="135"/>
      <c r="G104" s="135"/>
      <c r="H104" s="135"/>
      <c r="I104" s="135"/>
      <c r="J104" s="135"/>
    </row>
    <row r="105" ht="12" customHeight="1" spans="2:10">
      <c r="B105" s="135"/>
      <c r="C105" s="135"/>
      <c r="D105" s="135"/>
      <c r="E105" s="135"/>
      <c r="F105" s="135"/>
      <c r="G105" s="135"/>
      <c r="H105" s="135"/>
      <c r="I105" s="135"/>
      <c r="J105" s="135"/>
    </row>
    <row r="106" ht="12" customHeight="1" spans="2:10">
      <c r="B106" s="135"/>
      <c r="C106" s="135"/>
      <c r="D106" s="135"/>
      <c r="E106" s="135"/>
      <c r="F106" s="135"/>
      <c r="G106" s="135"/>
      <c r="H106" s="135"/>
      <c r="I106" s="135"/>
      <c r="J106" s="135"/>
    </row>
    <row r="107" ht="12" customHeight="1" spans="2:10">
      <c r="B107" s="135"/>
      <c r="C107" s="135"/>
      <c r="D107" s="135"/>
      <c r="E107" s="135"/>
      <c r="F107" s="135"/>
      <c r="G107" s="135"/>
      <c r="H107" s="135"/>
      <c r="I107" s="135"/>
      <c r="J107" s="135"/>
    </row>
    <row r="108" ht="12" customHeight="1" spans="2:10">
      <c r="B108" s="135"/>
      <c r="C108" s="135"/>
      <c r="D108" s="135"/>
      <c r="E108" s="135"/>
      <c r="F108" s="135"/>
      <c r="G108" s="135"/>
      <c r="H108" s="135"/>
      <c r="I108" s="135"/>
      <c r="J108" s="135"/>
    </row>
    <row r="109" ht="12" customHeight="1" spans="2:10">
      <c r="B109" s="135"/>
      <c r="C109" s="135"/>
      <c r="D109" s="135"/>
      <c r="E109" s="135"/>
      <c r="F109" s="135"/>
      <c r="G109" s="135"/>
      <c r="H109" s="135"/>
      <c r="I109" s="135"/>
      <c r="J109" s="135"/>
    </row>
    <row r="110" ht="12" customHeight="1" spans="2:10">
      <c r="B110" s="135"/>
      <c r="C110" s="135"/>
      <c r="D110" s="135"/>
      <c r="E110" s="135"/>
      <c r="F110" s="135"/>
      <c r="G110" s="135"/>
      <c r="H110" s="135"/>
      <c r="I110" s="135"/>
      <c r="J110" s="135"/>
    </row>
    <row r="111" ht="12" customHeight="1" spans="2:10">
      <c r="B111" s="135"/>
      <c r="C111" s="135"/>
      <c r="D111" s="135"/>
      <c r="E111" s="135"/>
      <c r="F111" s="135"/>
      <c r="G111" s="135"/>
      <c r="H111" s="135"/>
      <c r="I111" s="135"/>
      <c r="J111" s="135"/>
    </row>
    <row r="112" ht="12" customHeight="1" spans="2:10">
      <c r="B112" s="135"/>
      <c r="C112" s="135"/>
      <c r="D112" s="135"/>
      <c r="E112" s="135"/>
      <c r="F112" s="135"/>
      <c r="G112" s="135"/>
      <c r="H112" s="135"/>
      <c r="I112" s="135"/>
      <c r="J112" s="135"/>
    </row>
    <row r="113" ht="12" customHeight="1" spans="2:10">
      <c r="B113" s="135"/>
      <c r="C113" s="135"/>
      <c r="D113" s="135"/>
      <c r="E113" s="135"/>
      <c r="F113" s="135"/>
      <c r="G113" s="135"/>
      <c r="H113" s="135"/>
      <c r="I113" s="135"/>
      <c r="J113" s="135"/>
    </row>
    <row r="114" ht="12" customHeight="1" spans="2:10">
      <c r="B114" s="135"/>
      <c r="C114" s="135"/>
      <c r="D114" s="135"/>
      <c r="E114" s="135"/>
      <c r="F114" s="135"/>
      <c r="G114" s="135"/>
      <c r="H114" s="135"/>
      <c r="I114" s="135"/>
      <c r="J114" s="135"/>
    </row>
    <row r="115" ht="12" customHeight="1" spans="2:10">
      <c r="B115" s="135"/>
      <c r="C115" s="135"/>
      <c r="D115" s="135"/>
      <c r="E115" s="135"/>
      <c r="F115" s="135"/>
      <c r="G115" s="135"/>
      <c r="H115" s="135"/>
      <c r="I115" s="135"/>
      <c r="J115" s="135"/>
    </row>
    <row r="116" ht="12" customHeight="1" spans="2:10">
      <c r="B116" s="135"/>
      <c r="C116" s="135"/>
      <c r="D116" s="135"/>
      <c r="E116" s="135"/>
      <c r="F116" s="135"/>
      <c r="G116" s="135"/>
      <c r="H116" s="135"/>
      <c r="I116" s="135"/>
      <c r="J116" s="135"/>
    </row>
    <row r="117" ht="12" customHeight="1" spans="2:10">
      <c r="B117" s="135"/>
      <c r="C117" s="135"/>
      <c r="D117" s="135"/>
      <c r="E117" s="135"/>
      <c r="F117" s="135"/>
      <c r="G117" s="135"/>
      <c r="H117" s="135"/>
      <c r="I117" s="135"/>
      <c r="J117" s="135"/>
    </row>
    <row r="118" ht="12" customHeight="1" spans="2:10">
      <c r="B118" s="135"/>
      <c r="C118" s="135"/>
      <c r="D118" s="135"/>
      <c r="E118" s="135"/>
      <c r="F118" s="135"/>
      <c r="G118" s="135"/>
      <c r="H118" s="135"/>
      <c r="I118" s="135"/>
      <c r="J118" s="135"/>
    </row>
    <row r="119" ht="12" customHeight="1" spans="2:10">
      <c r="B119" s="135"/>
      <c r="C119" s="135"/>
      <c r="D119" s="135"/>
      <c r="E119" s="135"/>
      <c r="F119" s="135"/>
      <c r="G119" s="135"/>
      <c r="H119" s="135"/>
      <c r="I119" s="135"/>
      <c r="J119" s="135"/>
    </row>
    <row r="120" ht="12" customHeight="1" spans="2:10">
      <c r="B120" s="135"/>
      <c r="C120" s="135"/>
      <c r="D120" s="135"/>
      <c r="E120" s="135"/>
      <c r="F120" s="135"/>
      <c r="G120" s="135"/>
      <c r="H120" s="135"/>
      <c r="I120" s="135"/>
      <c r="J120" s="135"/>
    </row>
    <row r="121" ht="12" customHeight="1" spans="2:10">
      <c r="B121" s="135"/>
      <c r="C121" s="135"/>
      <c r="D121" s="135"/>
      <c r="E121" s="135"/>
      <c r="F121" s="135"/>
      <c r="G121" s="135"/>
      <c r="H121" s="135"/>
      <c r="I121" s="135"/>
      <c r="J121" s="135"/>
    </row>
    <row r="122" ht="12" customHeight="1" spans="2:10">
      <c r="B122" s="135"/>
      <c r="C122" s="135"/>
      <c r="D122" s="135"/>
      <c r="E122" s="135"/>
      <c r="F122" s="135"/>
      <c r="G122" s="135"/>
      <c r="H122" s="135"/>
      <c r="I122" s="135"/>
      <c r="J122" s="135"/>
    </row>
    <row r="123" ht="12" customHeight="1" spans="2:10">
      <c r="B123" s="135"/>
      <c r="C123" s="135"/>
      <c r="D123" s="135"/>
      <c r="E123" s="135"/>
      <c r="F123" s="135"/>
      <c r="G123" s="135"/>
      <c r="H123" s="135"/>
      <c r="I123" s="135"/>
      <c r="J123" s="135"/>
    </row>
    <row r="124" ht="12" customHeight="1" spans="2:10">
      <c r="B124" s="135"/>
      <c r="C124" s="135"/>
      <c r="D124" s="135"/>
      <c r="E124" s="135"/>
      <c r="F124" s="135"/>
      <c r="G124" s="135"/>
      <c r="H124" s="135"/>
      <c r="I124" s="135"/>
      <c r="J124" s="135"/>
    </row>
    <row r="125" ht="12" customHeight="1" spans="2:10">
      <c r="B125" s="135"/>
      <c r="C125" s="135"/>
      <c r="D125" s="135"/>
      <c r="E125" s="135"/>
      <c r="F125" s="135"/>
      <c r="G125" s="135"/>
      <c r="H125" s="135"/>
      <c r="I125" s="135"/>
      <c r="J125" s="135"/>
    </row>
    <row r="126" ht="12" customHeight="1" spans="2:10">
      <c r="B126" s="135"/>
      <c r="C126" s="135"/>
      <c r="D126" s="135"/>
      <c r="E126" s="135"/>
      <c r="F126" s="135"/>
      <c r="G126" s="135"/>
      <c r="H126" s="135"/>
      <c r="I126" s="135"/>
      <c r="J126" s="135"/>
    </row>
    <row r="127" ht="12" customHeight="1" spans="2:10">
      <c r="B127" s="135"/>
      <c r="C127" s="135"/>
      <c r="D127" s="135"/>
      <c r="E127" s="135"/>
      <c r="F127" s="135"/>
      <c r="G127" s="135"/>
      <c r="H127" s="135"/>
      <c r="I127" s="135"/>
      <c r="J127" s="135"/>
    </row>
    <row r="128" ht="12" customHeight="1" spans="2:10">
      <c r="B128" s="135"/>
      <c r="C128" s="135"/>
      <c r="D128" s="135"/>
      <c r="E128" s="135"/>
      <c r="F128" s="135"/>
      <c r="G128" s="135"/>
      <c r="H128" s="135"/>
      <c r="I128" s="135"/>
      <c r="J128" s="135"/>
    </row>
    <row r="129" ht="12" customHeight="1" spans="2:10">
      <c r="B129" s="135"/>
      <c r="C129" s="135"/>
      <c r="D129" s="135"/>
      <c r="E129" s="135"/>
      <c r="F129" s="135"/>
      <c r="G129" s="135"/>
      <c r="H129" s="135"/>
      <c r="I129" s="135"/>
      <c r="J129" s="135"/>
    </row>
    <row r="130" ht="12" customHeight="1" spans="2:10">
      <c r="B130" s="135"/>
      <c r="C130" s="135"/>
      <c r="D130" s="135"/>
      <c r="E130" s="135"/>
      <c r="F130" s="135"/>
      <c r="G130" s="135"/>
      <c r="H130" s="135"/>
      <c r="I130" s="135"/>
      <c r="J130" s="135"/>
    </row>
    <row r="131" ht="12" customHeight="1" spans="2:10">
      <c r="B131" s="135"/>
      <c r="C131" s="135"/>
      <c r="D131" s="135"/>
      <c r="E131" s="135"/>
      <c r="F131" s="135"/>
      <c r="G131" s="135"/>
      <c r="H131" s="135"/>
      <c r="I131" s="135"/>
      <c r="J131" s="135"/>
    </row>
    <row r="132" ht="12" customHeight="1" spans="2:10">
      <c r="B132" s="135"/>
      <c r="C132" s="135"/>
      <c r="D132" s="135"/>
      <c r="E132" s="135"/>
      <c r="F132" s="135"/>
      <c r="G132" s="135"/>
      <c r="H132" s="135"/>
      <c r="I132" s="135"/>
      <c r="J132" s="135"/>
    </row>
    <row r="133" ht="12" customHeight="1" spans="2:10">
      <c r="B133" s="135"/>
      <c r="C133" s="135"/>
      <c r="D133" s="135"/>
      <c r="E133" s="135"/>
      <c r="F133" s="135"/>
      <c r="G133" s="135"/>
      <c r="H133" s="135"/>
      <c r="I133" s="135"/>
      <c r="J133" s="135"/>
    </row>
    <row r="134" ht="12" customHeight="1" spans="2:10">
      <c r="B134" s="135"/>
      <c r="C134" s="135"/>
      <c r="D134" s="135"/>
      <c r="E134" s="135"/>
      <c r="F134" s="135"/>
      <c r="G134" s="135"/>
      <c r="H134" s="135"/>
      <c r="I134" s="135"/>
      <c r="J134" s="135"/>
    </row>
    <row r="135" ht="12" customHeight="1" spans="2:10">
      <c r="B135" s="135"/>
      <c r="C135" s="135"/>
      <c r="D135" s="135"/>
      <c r="E135" s="135"/>
      <c r="F135" s="135"/>
      <c r="G135" s="135"/>
      <c r="H135" s="135"/>
      <c r="I135" s="135"/>
      <c r="J135" s="135"/>
    </row>
    <row r="136" ht="12" customHeight="1" spans="2:10">
      <c r="B136" s="135"/>
      <c r="C136" s="135"/>
      <c r="D136" s="135"/>
      <c r="E136" s="135"/>
      <c r="F136" s="135"/>
      <c r="G136" s="135"/>
      <c r="H136" s="135"/>
      <c r="I136" s="135"/>
      <c r="J136" s="135"/>
    </row>
    <row r="137" ht="12" customHeight="1" spans="2:10">
      <c r="B137" s="135"/>
      <c r="C137" s="135"/>
      <c r="D137" s="135"/>
      <c r="E137" s="135"/>
      <c r="F137" s="135"/>
      <c r="G137" s="135"/>
      <c r="H137" s="135"/>
      <c r="I137" s="135"/>
      <c r="J137" s="135"/>
    </row>
    <row r="138" ht="12" customHeight="1" spans="2:10">
      <c r="B138" s="135"/>
      <c r="C138" s="135"/>
      <c r="D138" s="135"/>
      <c r="E138" s="135"/>
      <c r="F138" s="135"/>
      <c r="G138" s="135"/>
      <c r="H138" s="135"/>
      <c r="I138" s="135"/>
      <c r="J138" s="135"/>
    </row>
    <row r="139" ht="12" customHeight="1" spans="2:10">
      <c r="B139" s="135"/>
      <c r="C139" s="135"/>
      <c r="D139" s="135"/>
      <c r="E139" s="135"/>
      <c r="F139" s="135"/>
      <c r="G139" s="135"/>
      <c r="H139" s="135"/>
      <c r="I139" s="135"/>
      <c r="J139" s="135"/>
    </row>
    <row r="140" ht="12" customHeight="1" spans="2:10">
      <c r="B140" s="135"/>
      <c r="C140" s="135"/>
      <c r="D140" s="135"/>
      <c r="E140" s="135"/>
      <c r="F140" s="135"/>
      <c r="G140" s="135"/>
      <c r="H140" s="135"/>
      <c r="I140" s="135"/>
      <c r="J140" s="135"/>
    </row>
    <row r="141" ht="12" customHeight="1" spans="2:10">
      <c r="B141" s="135"/>
      <c r="C141" s="135"/>
      <c r="D141" s="135"/>
      <c r="E141" s="135"/>
      <c r="F141" s="135"/>
      <c r="G141" s="135"/>
      <c r="H141" s="135"/>
      <c r="I141" s="135"/>
      <c r="J141" s="135"/>
    </row>
    <row r="142" ht="12" customHeight="1" spans="2:10">
      <c r="B142" s="135"/>
      <c r="C142" s="135"/>
      <c r="D142" s="135"/>
      <c r="E142" s="135"/>
      <c r="F142" s="135"/>
      <c r="G142" s="135"/>
      <c r="H142" s="135"/>
      <c r="I142" s="135"/>
      <c r="J142" s="135"/>
    </row>
    <row r="143" ht="12" customHeight="1" spans="2:10">
      <c r="B143" s="135"/>
      <c r="C143" s="135"/>
      <c r="D143" s="135"/>
      <c r="E143" s="135"/>
      <c r="F143" s="135"/>
      <c r="G143" s="135"/>
      <c r="H143" s="135"/>
      <c r="I143" s="135"/>
      <c r="J143" s="135"/>
    </row>
    <row r="144" ht="12" customHeight="1" spans="2:10">
      <c r="B144" s="135"/>
      <c r="C144" s="135"/>
      <c r="D144" s="135"/>
      <c r="E144" s="135"/>
      <c r="F144" s="135"/>
      <c r="G144" s="135"/>
      <c r="H144" s="135"/>
      <c r="I144" s="135"/>
      <c r="J144" s="135"/>
    </row>
    <row r="145" ht="12" customHeight="1" spans="1:10">
      <c r="A145" s="136"/>
      <c r="B145" s="136"/>
      <c r="C145" s="136"/>
      <c r="D145" s="136"/>
      <c r="E145" s="136"/>
      <c r="F145" s="136"/>
      <c r="G145" s="136"/>
      <c r="H145" s="136"/>
      <c r="I145" s="136"/>
      <c r="J145" s="136"/>
    </row>
    <row r="146" ht="12" customHeight="1" spans="2:10">
      <c r="B146" s="135"/>
      <c r="C146" s="135"/>
      <c r="D146" s="135"/>
      <c r="E146" s="135"/>
      <c r="F146" s="135"/>
      <c r="G146" s="135"/>
      <c r="H146" s="135"/>
      <c r="I146" s="135"/>
      <c r="J146" s="135"/>
    </row>
    <row r="147" ht="12" customHeight="1" spans="2:10">
      <c r="B147" s="135"/>
      <c r="C147" s="135"/>
      <c r="D147" s="135"/>
      <c r="E147" s="135"/>
      <c r="F147" s="135"/>
      <c r="G147" s="135"/>
      <c r="H147" s="135"/>
      <c r="I147" s="135"/>
      <c r="J147" s="135"/>
    </row>
    <row r="148" ht="12" customHeight="1" spans="2:10">
      <c r="B148" s="135"/>
      <c r="C148" s="135"/>
      <c r="D148" s="135"/>
      <c r="E148" s="135"/>
      <c r="F148" s="135"/>
      <c r="G148" s="135"/>
      <c r="H148" s="135"/>
      <c r="I148" s="135"/>
      <c r="J148" s="135"/>
    </row>
    <row r="149" ht="12" customHeight="1" spans="2:10">
      <c r="B149" s="135"/>
      <c r="C149" s="135"/>
      <c r="D149" s="135"/>
      <c r="E149" s="135"/>
      <c r="F149" s="135"/>
      <c r="G149" s="135"/>
      <c r="H149" s="135"/>
      <c r="I149" s="135"/>
      <c r="J149" s="135"/>
    </row>
    <row r="150" ht="12" customHeight="1" spans="2:10">
      <c r="B150" s="135"/>
      <c r="C150" s="135"/>
      <c r="D150" s="135"/>
      <c r="E150" s="135"/>
      <c r="F150" s="135"/>
      <c r="G150" s="135"/>
      <c r="H150" s="135"/>
      <c r="I150" s="135"/>
      <c r="J150" s="135"/>
    </row>
    <row r="151" ht="12" customHeight="1" spans="2:10">
      <c r="B151" s="135"/>
      <c r="C151" s="135"/>
      <c r="D151" s="135"/>
      <c r="E151" s="135"/>
      <c r="F151" s="135"/>
      <c r="G151" s="135"/>
      <c r="H151" s="135"/>
      <c r="I151" s="135"/>
      <c r="J151" s="135"/>
    </row>
    <row r="152" ht="12" customHeight="1" spans="2:10">
      <c r="B152" s="135"/>
      <c r="C152" s="135"/>
      <c r="D152" s="135"/>
      <c r="E152" s="135"/>
      <c r="F152" s="135"/>
      <c r="G152" s="135"/>
      <c r="H152" s="135"/>
      <c r="I152" s="135"/>
      <c r="J152" s="135"/>
    </row>
    <row r="153" ht="12" customHeight="1" spans="2:10">
      <c r="B153" s="135"/>
      <c r="C153" s="135"/>
      <c r="D153" s="135"/>
      <c r="E153" s="135"/>
      <c r="F153" s="135"/>
      <c r="G153" s="135"/>
      <c r="H153" s="135"/>
      <c r="I153" s="135"/>
      <c r="J153" s="135"/>
    </row>
    <row r="154" ht="12" customHeight="1" spans="2:10">
      <c r="B154" s="135"/>
      <c r="C154" s="135"/>
      <c r="D154" s="135"/>
      <c r="E154" s="135"/>
      <c r="F154" s="135"/>
      <c r="G154" s="135"/>
      <c r="H154" s="135"/>
      <c r="I154" s="135"/>
      <c r="J154" s="135"/>
    </row>
    <row r="155" ht="12" customHeight="1" spans="2:10">
      <c r="B155" s="135"/>
      <c r="C155" s="135"/>
      <c r="D155" s="135"/>
      <c r="E155" s="135"/>
      <c r="F155" s="135"/>
      <c r="G155" s="135"/>
      <c r="H155" s="135"/>
      <c r="I155" s="135"/>
      <c r="J155" s="135"/>
    </row>
    <row r="156" ht="12" customHeight="1" spans="2:10">
      <c r="B156" s="135"/>
      <c r="C156" s="135"/>
      <c r="D156" s="135"/>
      <c r="E156" s="135"/>
      <c r="F156" s="135"/>
      <c r="G156" s="135"/>
      <c r="H156" s="135"/>
      <c r="I156" s="135"/>
      <c r="J156" s="135"/>
    </row>
    <row r="157" ht="12" customHeight="1" spans="2:10">
      <c r="B157" s="135"/>
      <c r="C157" s="135"/>
      <c r="D157" s="135"/>
      <c r="E157" s="135"/>
      <c r="F157" s="135"/>
      <c r="G157" s="135"/>
      <c r="H157" s="135"/>
      <c r="I157" s="135"/>
      <c r="J157" s="135"/>
    </row>
    <row r="158" ht="12" customHeight="1" spans="2:10">
      <c r="B158" s="135"/>
      <c r="C158" s="135"/>
      <c r="D158" s="135"/>
      <c r="E158" s="135"/>
      <c r="F158" s="135"/>
      <c r="G158" s="135"/>
      <c r="H158" s="135"/>
      <c r="I158" s="135"/>
      <c r="J158" s="135"/>
    </row>
    <row r="159" ht="12" customHeight="1" spans="2:10">
      <c r="B159" s="135"/>
      <c r="C159" s="135"/>
      <c r="D159" s="135"/>
      <c r="E159" s="135"/>
      <c r="F159" s="135"/>
      <c r="G159" s="135"/>
      <c r="H159" s="135"/>
      <c r="I159" s="135"/>
      <c r="J159" s="135"/>
    </row>
    <row r="160" ht="12" customHeight="1" spans="2:10">
      <c r="B160" s="135"/>
      <c r="C160" s="135"/>
      <c r="D160" s="135"/>
      <c r="E160" s="135"/>
      <c r="F160" s="135"/>
      <c r="G160" s="135"/>
      <c r="H160" s="135"/>
      <c r="I160" s="135"/>
      <c r="J160" s="135"/>
    </row>
    <row r="161" ht="12" customHeight="1" spans="2:10">
      <c r="B161" s="135"/>
      <c r="C161" s="135"/>
      <c r="D161" s="135"/>
      <c r="E161" s="135"/>
      <c r="F161" s="135"/>
      <c r="G161" s="135"/>
      <c r="H161" s="135"/>
      <c r="I161" s="135"/>
      <c r="J161" s="135"/>
    </row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</sheetData>
  <mergeCells count="50">
    <mergeCell ref="A4:E4"/>
    <mergeCell ref="F4:Q4"/>
    <mergeCell ref="R4:S4"/>
    <mergeCell ref="U4:V4"/>
    <mergeCell ref="W4:AB4"/>
    <mergeCell ref="A5:E5"/>
    <mergeCell ref="F5:T5"/>
    <mergeCell ref="U5:V5"/>
    <mergeCell ref="W5:AB5"/>
    <mergeCell ref="A6:E6"/>
    <mergeCell ref="F6:AB6"/>
    <mergeCell ref="A7:E7"/>
    <mergeCell ref="F7:T7"/>
    <mergeCell ref="U7:W7"/>
    <mergeCell ref="X7:AB7"/>
    <mergeCell ref="A8:E8"/>
    <mergeCell ref="F8:T8"/>
    <mergeCell ref="U8:W8"/>
    <mergeCell ref="X8:AB8"/>
    <mergeCell ref="C9:K9"/>
    <mergeCell ref="Q9:T9"/>
    <mergeCell ref="U9:X9"/>
    <mergeCell ref="Y9:AB9"/>
    <mergeCell ref="C10:K10"/>
    <mergeCell ref="Q10:R10"/>
    <mergeCell ref="S10:T10"/>
    <mergeCell ref="U10:X10"/>
    <mergeCell ref="Y10:AB10"/>
    <mergeCell ref="C11:K11"/>
    <mergeCell ref="Q11:R11"/>
    <mergeCell ref="S11:T11"/>
    <mergeCell ref="U11:X11"/>
    <mergeCell ref="Y11:AB11"/>
    <mergeCell ref="C12:K12"/>
    <mergeCell ref="Q12:R12"/>
    <mergeCell ref="S12:T12"/>
    <mergeCell ref="U12:X12"/>
    <mergeCell ref="Y12:AB12"/>
    <mergeCell ref="C13:K13"/>
    <mergeCell ref="Q13:R13"/>
    <mergeCell ref="S13:T13"/>
    <mergeCell ref="U13:X13"/>
    <mergeCell ref="Y13:AB13"/>
    <mergeCell ref="K15:S15"/>
    <mergeCell ref="K25:S25"/>
    <mergeCell ref="A26:AB33"/>
    <mergeCell ref="A16:AB23"/>
    <mergeCell ref="A9:B13"/>
    <mergeCell ref="O9:P13"/>
    <mergeCell ref="A1:AB3"/>
  </mergeCells>
  <pageMargins left="0.7875" right="0.7875" top="0.7875" bottom="0.7875" header="0.511805555555556" footer="0.511805555555556"/>
  <pageSetup paperSize="9" firstPageNumber="0" orientation="portrait" useFirstPageNumber="1" horizontalDpi="300" verticalDpi="300"/>
  <headerFooter alignWithMargins="0">
    <oddHeader>&amp;C&amp;"Arial"&amp;8&amp;K000000INTERNAL&amp;1#</oddHeader>
    <oddFooter>&amp;R&amp;"Tahoma,Normal"&amp;8&amp;F - &amp;A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lan1"/>
  <dimension ref="A1:U77"/>
  <sheetViews>
    <sheetView showGridLines="0" tabSelected="1" zoomScale="130" zoomScaleNormal="130" workbookViewId="0">
      <pane ySplit="7" topLeftCell="A8" activePane="bottomLeft" state="frozen"/>
      <selection/>
      <selection pane="bottomLeft" activeCell="J36" sqref="J36"/>
    </sheetView>
  </sheetViews>
  <sheetFormatPr defaultColWidth="9" defaultRowHeight="12.75"/>
  <cols>
    <col min="1" max="4" width="7.71428571428571" style="93" customWidth="1"/>
    <col min="5" max="5" width="21.8571428571429" style="93" customWidth="1"/>
    <col min="6" max="6" width="11.7142857142857" style="93" customWidth="1"/>
    <col min="7" max="7" width="11.1428571428571" style="94" customWidth="1"/>
    <col min="8" max="8" width="5.28571428571429" style="93" customWidth="1"/>
    <col min="9" max="9" width="7" style="93" customWidth="1"/>
    <col min="10" max="11" width="5.14285714285714" style="93" customWidth="1"/>
    <col min="12" max="12" width="7.42857142857143" style="93" hidden="1" customWidth="1"/>
    <col min="13" max="13" width="10" style="93" hidden="1" customWidth="1"/>
    <col min="14" max="14" width="9.71428571428571" style="93" customWidth="1"/>
    <col min="15" max="15" width="5.71428571428571" style="93" customWidth="1"/>
    <col min="16" max="16" width="9.42857142857143" style="93" customWidth="1"/>
    <col min="17" max="18" width="16.7142857142857" style="93" customWidth="1"/>
    <col min="19" max="19" width="1.85714285714286" style="93" customWidth="1"/>
    <col min="20" max="20" width="37.8571428571429" style="93" customWidth="1"/>
    <col min="21" max="21" width="16.7142857142857" style="93" hidden="1" customWidth="1"/>
    <col min="22" max="22" width="12.7142857142857" style="93" customWidth="1"/>
    <col min="23" max="16384" width="9.14285714285714" style="93"/>
  </cols>
  <sheetData>
    <row r="1" s="91" customFormat="1" ht="15" customHeight="1" spans="1:21">
      <c r="A1" s="95" t="s">
        <v>33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120"/>
      <c r="R1" s="120"/>
      <c r="S1" s="120"/>
      <c r="T1" s="120"/>
      <c r="U1" s="120"/>
    </row>
    <row r="2" s="91" customFormat="1" ht="15" customHeight="1" spans="1:2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120"/>
      <c r="R2" s="120"/>
      <c r="S2" s="120"/>
      <c r="T2" s="120"/>
      <c r="U2" s="120"/>
    </row>
    <row r="3" s="91" customFormat="1" ht="12" customHeight="1" spans="1:2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120"/>
      <c r="R3" s="120"/>
      <c r="S3" s="120"/>
      <c r="T3" s="120"/>
      <c r="U3" s="120"/>
    </row>
    <row r="4" s="91" customFormat="1" ht="15" customHeight="1" spans="1:21">
      <c r="A4" s="96" t="str">
        <f>Contagem!A5&amp;" : "&amp;Contagem!F5</f>
        <v>Aplicação : FINPES - SISTEMA PARA CONTROLE FINANCEIRO</v>
      </c>
      <c r="B4" s="96"/>
      <c r="C4" s="96"/>
      <c r="D4" s="96"/>
      <c r="E4" s="96"/>
      <c r="F4" s="96"/>
      <c r="G4" s="97"/>
      <c r="H4" s="98" t="str">
        <f>Contagem!A6&amp;" : "&amp;Contagem!F6</f>
        <v>Projeto : GESTÃO DE PROCESSOS - UEG</v>
      </c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</row>
    <row r="5" s="92" customFormat="1" ht="15" customHeight="1" spans="1:21">
      <c r="A5" s="99" t="str">
        <f>Contagem!A7&amp;" : "&amp;Contagem!F7</f>
        <v>Responsável : LUCAS MORAES</v>
      </c>
      <c r="B5" s="99"/>
      <c r="C5" s="99"/>
      <c r="D5" s="99"/>
      <c r="E5" s="99"/>
      <c r="F5" s="99"/>
      <c r="G5" s="97"/>
      <c r="H5" s="98" t="str">
        <f>Contagem!A8&amp;" : "&amp;Contagem!F8</f>
        <v>Revisor : </v>
      </c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</row>
    <row r="6" s="92" customFormat="1" ht="15" customHeight="1" spans="1:21">
      <c r="A6" s="100" t="str">
        <f>Contagem!A4&amp;" : "&amp;Contagem!F4</f>
        <v>Empresa : SISTEMAS DE INFORMAÇÃO</v>
      </c>
      <c r="B6" s="100"/>
      <c r="C6" s="100"/>
      <c r="D6" s="100"/>
      <c r="E6" s="100"/>
      <c r="F6" s="98" t="str">
        <f>Contagem!R4&amp;" = "&amp;VALUE(Contagem!T4)</f>
        <v>R$/PF = 1000</v>
      </c>
      <c r="G6" s="98"/>
      <c r="H6" s="98"/>
      <c r="I6" s="110" t="str">
        <f>" Custo= "&amp;DOLLAR(Contagem!W4)</f>
        <v> Custo= R$124.000</v>
      </c>
      <c r="J6" s="110"/>
      <c r="K6" s="110"/>
      <c r="L6" s="110"/>
      <c r="M6" s="110"/>
      <c r="N6" s="110"/>
      <c r="O6" s="111" t="str">
        <f>"PF  = "&amp;VALUE(Contagem!W5)</f>
        <v>PF  = 124</v>
      </c>
      <c r="P6" s="111"/>
      <c r="Q6" s="121"/>
      <c r="R6" s="121"/>
      <c r="S6" s="121"/>
      <c r="T6" s="121"/>
      <c r="U6" s="122"/>
    </row>
    <row r="7" s="92" customFormat="1" ht="15" customHeight="1" spans="1:21">
      <c r="A7" s="101" t="s">
        <v>34</v>
      </c>
      <c r="B7" s="101"/>
      <c r="C7" s="101"/>
      <c r="D7" s="101"/>
      <c r="E7" s="101"/>
      <c r="F7" s="101"/>
      <c r="G7" s="102" t="s">
        <v>35</v>
      </c>
      <c r="H7" s="103" t="s">
        <v>36</v>
      </c>
      <c r="I7" s="112" t="s">
        <v>37</v>
      </c>
      <c r="J7" s="113" t="s">
        <v>38</v>
      </c>
      <c r="K7" s="113" t="s">
        <v>39</v>
      </c>
      <c r="L7" s="113" t="s">
        <v>40</v>
      </c>
      <c r="M7" s="113" t="s">
        <v>41</v>
      </c>
      <c r="N7" s="113" t="s">
        <v>42</v>
      </c>
      <c r="O7" s="113" t="s">
        <v>7</v>
      </c>
      <c r="P7" s="114" t="s">
        <v>20</v>
      </c>
      <c r="Q7" s="123" t="s">
        <v>43</v>
      </c>
      <c r="R7" s="123"/>
      <c r="S7" s="123"/>
      <c r="T7" s="123"/>
      <c r="U7" s="123"/>
    </row>
    <row r="8" ht="18" customHeight="1" spans="1:21">
      <c r="A8" s="104" t="s">
        <v>44</v>
      </c>
      <c r="B8" s="105"/>
      <c r="C8" s="105"/>
      <c r="D8" s="105"/>
      <c r="E8" s="105"/>
      <c r="F8" s="106"/>
      <c r="G8" s="107" t="s">
        <v>45</v>
      </c>
      <c r="H8" s="108" t="s">
        <v>46</v>
      </c>
      <c r="I8" s="109" t="s">
        <v>47</v>
      </c>
      <c r="J8" s="115">
        <v>4</v>
      </c>
      <c r="K8" s="115">
        <v>1</v>
      </c>
      <c r="L8" s="109" t="str">
        <f t="shared" ref="L8:L15" si="0">CONCATENATE(H8,M8)</f>
        <v>ALIL</v>
      </c>
      <c r="M8" s="116" t="str">
        <f>IF(OR(ISBLANK(J8),ISBLANK(K8)),IF(OR(H8="ALI",H8="AIE"),"L",IF(ISBLANK(H8),"","A")),IF(H8="EE",IF(K8&gt;=3,IF(J8&gt;=5,"H","A"),IF(K8&gt;=2,IF(J8&gt;=16,"H",IF(J8&lt;=4,"L","A")),IF(J8&lt;=15,"L","A"))),IF(OR(H8="SE",H8="CE"),IF(K8&gt;=4,IF(J8&gt;=6,"H","A"),IF(K8&gt;=2,IF(J8&gt;=20,"H",IF(J8&lt;=5,"L","A")),IF(J8&lt;=19,"L","A"))),IF(OR(H8="ALI",H8="AIE"),IF(K8&gt;=6,IF(J8&gt;=20,"H","A"),IF(K8&gt;=2,IF(J8&gt;=51,"H",IF(J8&lt;=19,"L","A")),IF(J8&lt;=50,"L","A")))))))</f>
        <v>L</v>
      </c>
      <c r="N8" s="117" t="str">
        <f t="shared" ref="N8:N15" si="1">IF(M8="L","Baixa",IF(M8="A","Média",IF(M8="","","Alta")))</f>
        <v>Baixa</v>
      </c>
      <c r="O8" s="118">
        <f t="shared" ref="O8:O15" si="2">IF(ISBLANK(H8),"",IF(H8="ALI",IF(M8="L",7,IF(M8="A",10,15)),IF(H8="AIE",IF(M8="L",5,IF(M8="A",7,10)),IF(H8="SE",IF(M8="L",4,IF(M8="A",5,7)),IF(OR(H8="EE",H8="CE"),IF(M8="L",3,IF(M8="A",4,6)))))))</f>
        <v>7</v>
      </c>
      <c r="P8" s="119">
        <v>7</v>
      </c>
      <c r="Q8" s="124"/>
      <c r="R8" s="124"/>
      <c r="S8" s="124"/>
      <c r="T8" s="124"/>
      <c r="U8" s="125"/>
    </row>
    <row r="9" ht="18" customHeight="1" spans="1:21">
      <c r="A9" s="104" t="s">
        <v>48</v>
      </c>
      <c r="B9" s="105"/>
      <c r="C9" s="105"/>
      <c r="D9" s="105"/>
      <c r="E9" s="105"/>
      <c r="F9" s="106"/>
      <c r="G9" s="107" t="s">
        <v>45</v>
      </c>
      <c r="H9" s="108" t="s">
        <v>49</v>
      </c>
      <c r="I9" s="109" t="s">
        <v>47</v>
      </c>
      <c r="J9" s="115">
        <v>4</v>
      </c>
      <c r="K9" s="115">
        <v>1</v>
      </c>
      <c r="L9" s="109" t="str">
        <f t="shared" si="0"/>
        <v>SEL</v>
      </c>
      <c r="M9" s="116" t="str">
        <f>IF(OR(ISBLANK(J9),ISBLANK(K9)),IF(OR(H9="ALI",H9="AIE"),"L",IF(ISBLANK(H9),"","A")),IF(H9="EE",IF(K9&gt;=3,IF(J9&gt;=5,"H","A"),IF(K9&gt;=2,IF(J9&gt;=16,"H",IF(J9&lt;=4,"L","A")),IF(J9&lt;=15,"L","A"))),IF(OR(H9="SE",H9="CE"),IF(K9&gt;=4,IF(J9&gt;=6,"H","A"),IF(K9&gt;=2,IF(J9&gt;=20,"H",IF(J9&lt;=5,"L","A")),IF(J9&lt;=19,"L","A"))),IF(OR(H9="ALI",H9="AIE"),IF(K9&gt;=6,IF(J9&gt;=20,"H","A"),IF(K9&gt;=2,IF(J9&gt;=51,"H",IF(J9&lt;=19,"L","A")),IF(J9&lt;=50,"L","A")))))))</f>
        <v>L</v>
      </c>
      <c r="N9" s="117" t="str">
        <f t="shared" si="1"/>
        <v>Baixa</v>
      </c>
      <c r="O9" s="118">
        <f t="shared" si="2"/>
        <v>4</v>
      </c>
      <c r="P9" s="119">
        <v>3</v>
      </c>
      <c r="Q9" s="124"/>
      <c r="R9" s="124"/>
      <c r="S9" s="124"/>
      <c r="T9" s="124"/>
      <c r="U9" s="125"/>
    </row>
    <row r="10" ht="18" customHeight="1" spans="1:21">
      <c r="A10" s="104" t="s">
        <v>50</v>
      </c>
      <c r="B10" s="105"/>
      <c r="C10" s="105"/>
      <c r="D10" s="105"/>
      <c r="E10" s="105"/>
      <c r="F10" s="106"/>
      <c r="G10" s="107" t="s">
        <v>51</v>
      </c>
      <c r="H10" s="108" t="s">
        <v>46</v>
      </c>
      <c r="I10" s="109" t="s">
        <v>47</v>
      </c>
      <c r="J10" s="115">
        <v>13</v>
      </c>
      <c r="K10" s="115">
        <v>3</v>
      </c>
      <c r="L10" s="109" t="str">
        <f t="shared" si="0"/>
        <v>ALIL</v>
      </c>
      <c r="M10" s="116" t="str">
        <f t="shared" ref="M10:M15" si="3">IF(OR(ISBLANK(J10),ISBLANK(K10)),IF(OR(H10="ALI",H10="AIE"),"L",IF(ISBLANK(H10),"","A")),IF(H10="EE",IF(K10&gt;=3,IF(J10&gt;=5,"H","A"),IF(K10&gt;=2,IF(J10&gt;=16,"H",IF(J10&lt;=4,"L","A")),IF(J10&lt;=15,"L","A"))),IF(OR(H10="SE",H10="CE"),IF(K10&gt;=4,IF(J10&gt;=6,"H","A"),IF(K10&gt;=2,IF(J10&gt;=20,"H",IF(J10&lt;=5,"L","A")),IF(J10&lt;=19,"L","A"))),IF(OR(H10="ALI",H10="AIE"),IF(K10&gt;=6,IF(J10&gt;=20,"H","A"),IF(K10&gt;=2,IF(J10&gt;=51,"H",IF(J10&lt;=19,"L","A")),IF(J10&lt;=50,"L","A")))))))</f>
        <v>L</v>
      </c>
      <c r="N10" s="117" t="str">
        <f t="shared" si="1"/>
        <v>Baixa</v>
      </c>
      <c r="O10" s="118">
        <f t="shared" si="2"/>
        <v>7</v>
      </c>
      <c r="P10" s="119">
        <f>IF(I10="I",O10*Contagem!$U$10,IF(I10="E",O10*Contagem!$U$12,IF(I10="A",O10*Contagem!$U$11,IF(I10="T",O10*Contagem!$U$13,""))))</f>
        <v>7</v>
      </c>
      <c r="Q10" s="124"/>
      <c r="R10" s="124"/>
      <c r="S10" s="124"/>
      <c r="T10" s="124"/>
      <c r="U10" s="125"/>
    </row>
    <row r="11" ht="18" customHeight="1" spans="1:21">
      <c r="A11" s="104" t="s">
        <v>52</v>
      </c>
      <c r="B11" s="105"/>
      <c r="C11" s="105"/>
      <c r="D11" s="105"/>
      <c r="E11" s="105"/>
      <c r="F11" s="106"/>
      <c r="G11" s="107" t="s">
        <v>51</v>
      </c>
      <c r="H11" s="108" t="s">
        <v>53</v>
      </c>
      <c r="I11" s="109" t="s">
        <v>47</v>
      </c>
      <c r="J11" s="115">
        <v>13</v>
      </c>
      <c r="K11" s="115">
        <v>3</v>
      </c>
      <c r="L11" s="109" t="str">
        <f t="shared" si="0"/>
        <v>EEH</v>
      </c>
      <c r="M11" s="116" t="str">
        <f t="shared" si="3"/>
        <v>H</v>
      </c>
      <c r="N11" s="117" t="str">
        <f t="shared" si="1"/>
        <v>Alta</v>
      </c>
      <c r="O11" s="118">
        <f t="shared" si="2"/>
        <v>6</v>
      </c>
      <c r="P11" s="119">
        <f>IF(I11="I",O11*Contagem!$U$10,IF(I11="E",O11*Contagem!$U$12,IF(I11="A",O11*Contagem!$U$11,IF(I11="T",O11*Contagem!$U$13,""))))</f>
        <v>6</v>
      </c>
      <c r="Q11" s="124"/>
      <c r="R11" s="124"/>
      <c r="S11" s="124"/>
      <c r="T11" s="124"/>
      <c r="U11" s="125"/>
    </row>
    <row r="12" ht="18" customHeight="1" spans="1:21">
      <c r="A12" s="104" t="s">
        <v>54</v>
      </c>
      <c r="B12" s="105"/>
      <c r="C12" s="105"/>
      <c r="D12" s="105"/>
      <c r="E12" s="105"/>
      <c r="F12" s="106"/>
      <c r="G12" s="107" t="s">
        <v>51</v>
      </c>
      <c r="H12" s="108" t="s">
        <v>55</v>
      </c>
      <c r="I12" s="109" t="s">
        <v>47</v>
      </c>
      <c r="J12" s="115">
        <v>13</v>
      </c>
      <c r="K12" s="115">
        <v>3</v>
      </c>
      <c r="L12" s="109" t="str">
        <f t="shared" si="0"/>
        <v>CEA</v>
      </c>
      <c r="M12" s="116" t="str">
        <f t="shared" si="3"/>
        <v>A</v>
      </c>
      <c r="N12" s="117" t="str">
        <f t="shared" si="1"/>
        <v>Média</v>
      </c>
      <c r="O12" s="118">
        <f t="shared" si="2"/>
        <v>4</v>
      </c>
      <c r="P12" s="119">
        <f>IF(I12="I",O12*Contagem!$U$10,IF(I12="E",O12*Contagem!$U$12,IF(I12="A",O12*Contagem!$U$11,IF(I12="T",O12*Contagem!$U$13,""))))</f>
        <v>4</v>
      </c>
      <c r="Q12" s="124"/>
      <c r="R12" s="124"/>
      <c r="S12" s="124"/>
      <c r="T12" s="124"/>
      <c r="U12" s="125"/>
    </row>
    <row r="13" ht="18" customHeight="1" spans="1:21">
      <c r="A13" s="104" t="s">
        <v>56</v>
      </c>
      <c r="B13" s="105"/>
      <c r="C13" s="105"/>
      <c r="D13" s="105"/>
      <c r="E13" s="105"/>
      <c r="F13" s="106"/>
      <c r="G13" s="107" t="s">
        <v>51</v>
      </c>
      <c r="H13" s="108" t="s">
        <v>53</v>
      </c>
      <c r="I13" s="109" t="s">
        <v>47</v>
      </c>
      <c r="J13" s="115">
        <v>13</v>
      </c>
      <c r="K13" s="115">
        <v>3</v>
      </c>
      <c r="L13" s="109" t="str">
        <f t="shared" si="0"/>
        <v>EEH</v>
      </c>
      <c r="M13" s="116" t="str">
        <f t="shared" si="3"/>
        <v>H</v>
      </c>
      <c r="N13" s="117" t="str">
        <f t="shared" si="1"/>
        <v>Alta</v>
      </c>
      <c r="O13" s="118">
        <f t="shared" si="2"/>
        <v>6</v>
      </c>
      <c r="P13" s="119">
        <f>IF(I13="I",O13*Contagem!$U$10,IF(I13="E",O13*Contagem!$U$12,IF(I13="A",O13*Contagem!$U$11,IF(I13="T",O13*Contagem!$U$13,""))))</f>
        <v>6</v>
      </c>
      <c r="Q13" s="124"/>
      <c r="R13" s="124"/>
      <c r="S13" s="124"/>
      <c r="T13" s="124"/>
      <c r="U13" s="125"/>
    </row>
    <row r="14" ht="18" customHeight="1" spans="1:21">
      <c r="A14" s="104" t="s">
        <v>57</v>
      </c>
      <c r="B14" s="105"/>
      <c r="C14" s="105"/>
      <c r="D14" s="105"/>
      <c r="E14" s="105"/>
      <c r="F14" s="106"/>
      <c r="G14" s="107" t="s">
        <v>51</v>
      </c>
      <c r="H14" s="108" t="s">
        <v>53</v>
      </c>
      <c r="I14" s="109" t="s">
        <v>47</v>
      </c>
      <c r="J14" s="115">
        <v>1</v>
      </c>
      <c r="K14" s="115">
        <v>3</v>
      </c>
      <c r="L14" s="109" t="str">
        <f t="shared" si="0"/>
        <v>EEA</v>
      </c>
      <c r="M14" s="116" t="str">
        <f t="shared" si="3"/>
        <v>A</v>
      </c>
      <c r="N14" s="117" t="str">
        <f t="shared" si="1"/>
        <v>Média</v>
      </c>
      <c r="O14" s="118">
        <f t="shared" si="2"/>
        <v>4</v>
      </c>
      <c r="P14" s="119">
        <f>IF(I14="I",O14*Contagem!$U$10,IF(I14="E",O14*Contagem!$U$12,IF(I14="A",O14*Contagem!$U$11,IF(I14="T",O14*Contagem!$U$13,""))))</f>
        <v>4</v>
      </c>
      <c r="Q14" s="124"/>
      <c r="R14" s="124"/>
      <c r="S14" s="124"/>
      <c r="T14" s="124"/>
      <c r="U14" s="125"/>
    </row>
    <row r="15" ht="18" customHeight="1" spans="1:21">
      <c r="A15" s="104" t="s">
        <v>58</v>
      </c>
      <c r="B15" s="105"/>
      <c r="C15" s="105"/>
      <c r="D15" s="105"/>
      <c r="E15" s="105"/>
      <c r="F15" s="106"/>
      <c r="G15" s="107" t="s">
        <v>51</v>
      </c>
      <c r="H15" s="108" t="s">
        <v>55</v>
      </c>
      <c r="I15" s="109" t="s">
        <v>47</v>
      </c>
      <c r="J15" s="115">
        <v>13</v>
      </c>
      <c r="K15" s="115">
        <v>3</v>
      </c>
      <c r="L15" s="109" t="str">
        <f t="shared" si="0"/>
        <v>CEA</v>
      </c>
      <c r="M15" s="116" t="str">
        <f t="shared" si="3"/>
        <v>A</v>
      </c>
      <c r="N15" s="117" t="str">
        <f t="shared" si="1"/>
        <v>Média</v>
      </c>
      <c r="O15" s="118">
        <f t="shared" si="2"/>
        <v>4</v>
      </c>
      <c r="P15" s="119">
        <f>IF(I15="I",O15*Contagem!$U$10,IF(I15="E",O15*Contagem!$U$12,IF(I15="A",O15*Contagem!$U$11,IF(I15="T",O15*Contagem!$U$13,""))))</f>
        <v>4</v>
      </c>
      <c r="Q15" s="124"/>
      <c r="R15" s="124"/>
      <c r="S15" s="124"/>
      <c r="T15" s="124"/>
      <c r="U15" s="125"/>
    </row>
    <row r="16" ht="18" customHeight="1" spans="1:21">
      <c r="A16" s="104" t="s">
        <v>59</v>
      </c>
      <c r="B16" s="105"/>
      <c r="C16" s="105"/>
      <c r="D16" s="105"/>
      <c r="E16" s="105"/>
      <c r="F16" s="106"/>
      <c r="G16" s="107" t="s">
        <v>60</v>
      </c>
      <c r="H16" s="108" t="s">
        <v>46</v>
      </c>
      <c r="I16" s="109" t="s">
        <v>47</v>
      </c>
      <c r="J16" s="115">
        <v>14</v>
      </c>
      <c r="K16" s="115">
        <v>3</v>
      </c>
      <c r="L16" s="109" t="str">
        <f t="shared" ref="L16:L29" si="4">CONCATENATE(H16,M16)</f>
        <v>ALIL</v>
      </c>
      <c r="M16" s="116" t="str">
        <f t="shared" ref="M16:M29" si="5">IF(OR(ISBLANK(J16),ISBLANK(K16)),IF(OR(H16="ALI",H16="AIE"),"L",IF(ISBLANK(H16),"","A")),IF(H16="EE",IF(K16&gt;=3,IF(J16&gt;=5,"H","A"),IF(K16&gt;=2,IF(J16&gt;=16,"H",IF(J16&lt;=4,"L","A")),IF(J16&lt;=15,"L","A"))),IF(OR(H16="SE",H16="CE"),IF(K16&gt;=4,IF(J16&gt;=6,"H","A"),IF(K16&gt;=2,IF(J16&gt;=20,"H",IF(J16&lt;=5,"L","A")),IF(J16&lt;=19,"L","A"))),IF(OR(H16="ALI",H16="AIE"),IF(K16&gt;=6,IF(J16&gt;=20,"H","A"),IF(K16&gt;=2,IF(J16&gt;=51,"H",IF(J16&lt;=19,"L","A")),IF(J16&lt;=50,"L","A")))))))</f>
        <v>L</v>
      </c>
      <c r="N16" s="117" t="str">
        <f t="shared" ref="N16:N29" si="6">IF(M16="L","Baixa",IF(M16="A","Média",IF(M16="","","Alta")))</f>
        <v>Baixa</v>
      </c>
      <c r="O16" s="118">
        <f t="shared" ref="O16:O29" si="7">IF(ISBLANK(H16),"",IF(H16="ALI",IF(M16="L",7,IF(M16="A",10,15)),IF(H16="AIE",IF(M16="L",5,IF(M16="A",7,10)),IF(H16="SE",IF(M16="L",4,IF(M16="A",5,7)),IF(OR(H16="EE",H16="CE"),IF(M16="L",3,IF(M16="A",4,6)))))))</f>
        <v>7</v>
      </c>
      <c r="P16" s="119">
        <f>IF(I16="I",O16*Contagem!$U$10,IF(I16="E",O16*Contagem!$U$12,IF(I16="A",O16*Contagem!$U$11,IF(I16="T",O16*Contagem!$U$13,""))))</f>
        <v>7</v>
      </c>
      <c r="Q16" s="124"/>
      <c r="R16" s="124"/>
      <c r="S16" s="124"/>
      <c r="T16" s="124"/>
      <c r="U16" s="125"/>
    </row>
    <row r="17" ht="18" customHeight="1" spans="1:21">
      <c r="A17" s="104" t="s">
        <v>61</v>
      </c>
      <c r="B17" s="105"/>
      <c r="C17" s="105"/>
      <c r="D17" s="105"/>
      <c r="E17" s="105"/>
      <c r="F17" s="106"/>
      <c r="G17" s="107" t="s">
        <v>60</v>
      </c>
      <c r="H17" s="108" t="s">
        <v>53</v>
      </c>
      <c r="I17" s="109" t="s">
        <v>47</v>
      </c>
      <c r="J17" s="115">
        <v>14</v>
      </c>
      <c r="K17" s="115">
        <v>3</v>
      </c>
      <c r="L17" s="109" t="str">
        <f t="shared" si="4"/>
        <v>EEH</v>
      </c>
      <c r="M17" s="116" t="str">
        <f t="shared" si="5"/>
        <v>H</v>
      </c>
      <c r="N17" s="117" t="str">
        <f t="shared" si="6"/>
        <v>Alta</v>
      </c>
      <c r="O17" s="118">
        <f t="shared" si="7"/>
        <v>6</v>
      </c>
      <c r="P17" s="119">
        <f>IF(I17="I",O17*Contagem!$U$10,IF(I17="E",O17*Contagem!$U$12,IF(I17="A",O17*Contagem!$U$11,IF(I17="T",O17*Contagem!$U$13,""))))</f>
        <v>6</v>
      </c>
      <c r="Q17" s="124"/>
      <c r="R17" s="124"/>
      <c r="S17" s="124"/>
      <c r="T17" s="124"/>
      <c r="U17" s="125"/>
    </row>
    <row r="18" ht="18" customHeight="1" spans="1:21">
      <c r="A18" s="104" t="s">
        <v>62</v>
      </c>
      <c r="B18" s="105"/>
      <c r="C18" s="105"/>
      <c r="D18" s="105"/>
      <c r="E18" s="105"/>
      <c r="F18" s="106"/>
      <c r="G18" s="107" t="s">
        <v>60</v>
      </c>
      <c r="H18" s="108" t="s">
        <v>55</v>
      </c>
      <c r="I18" s="109" t="s">
        <v>47</v>
      </c>
      <c r="J18" s="115">
        <v>14</v>
      </c>
      <c r="K18" s="115">
        <v>3</v>
      </c>
      <c r="L18" s="109" t="str">
        <f t="shared" si="4"/>
        <v>CEA</v>
      </c>
      <c r="M18" s="116" t="str">
        <f t="shared" si="5"/>
        <v>A</v>
      </c>
      <c r="N18" s="117" t="str">
        <f t="shared" si="6"/>
        <v>Média</v>
      </c>
      <c r="O18" s="118">
        <f t="shared" si="7"/>
        <v>4</v>
      </c>
      <c r="P18" s="119">
        <f>IF(I18="I",O18*Contagem!$U$10,IF(I18="E",O18*Contagem!$U$12,IF(I18="A",O18*Contagem!$U$11,IF(I18="T",O18*Contagem!$U$13,""))))</f>
        <v>4</v>
      </c>
      <c r="Q18" s="124"/>
      <c r="R18" s="124"/>
      <c r="S18" s="124"/>
      <c r="T18" s="124"/>
      <c r="U18" s="125"/>
    </row>
    <row r="19" ht="18" customHeight="1" spans="1:21">
      <c r="A19" s="104" t="s">
        <v>63</v>
      </c>
      <c r="B19" s="105"/>
      <c r="C19" s="105"/>
      <c r="D19" s="105"/>
      <c r="E19" s="105"/>
      <c r="F19" s="106"/>
      <c r="G19" s="107" t="s">
        <v>60</v>
      </c>
      <c r="H19" s="108" t="s">
        <v>53</v>
      </c>
      <c r="I19" s="109" t="s">
        <v>47</v>
      </c>
      <c r="J19" s="115">
        <v>14</v>
      </c>
      <c r="K19" s="115">
        <v>3</v>
      </c>
      <c r="L19" s="109" t="str">
        <f t="shared" si="4"/>
        <v>EEH</v>
      </c>
      <c r="M19" s="116" t="str">
        <f t="shared" si="5"/>
        <v>H</v>
      </c>
      <c r="N19" s="117" t="str">
        <f t="shared" si="6"/>
        <v>Alta</v>
      </c>
      <c r="O19" s="118">
        <f t="shared" si="7"/>
        <v>6</v>
      </c>
      <c r="P19" s="119">
        <f>IF(I19="I",O19*Contagem!$U$10,IF(I19="E",O19*Contagem!$U$12,IF(I19="A",O19*Contagem!$U$11,IF(I19="T",O19*Contagem!$U$13,""))))</f>
        <v>6</v>
      </c>
      <c r="Q19" s="124"/>
      <c r="R19" s="124"/>
      <c r="S19" s="124"/>
      <c r="T19" s="124"/>
      <c r="U19" s="125"/>
    </row>
    <row r="20" ht="18" customHeight="1" spans="1:21">
      <c r="A20" s="104" t="s">
        <v>64</v>
      </c>
      <c r="B20" s="105"/>
      <c r="C20" s="105"/>
      <c r="D20" s="105"/>
      <c r="E20" s="105"/>
      <c r="F20" s="106"/>
      <c r="G20" s="107" t="s">
        <v>60</v>
      </c>
      <c r="H20" s="108" t="s">
        <v>53</v>
      </c>
      <c r="I20" s="109" t="s">
        <v>47</v>
      </c>
      <c r="J20" s="115">
        <v>1</v>
      </c>
      <c r="K20" s="115">
        <v>3</v>
      </c>
      <c r="L20" s="109" t="str">
        <f t="shared" si="4"/>
        <v>EEA</v>
      </c>
      <c r="M20" s="116" t="str">
        <f t="shared" si="5"/>
        <v>A</v>
      </c>
      <c r="N20" s="117" t="str">
        <f t="shared" si="6"/>
        <v>Média</v>
      </c>
      <c r="O20" s="118">
        <f t="shared" si="7"/>
        <v>4</v>
      </c>
      <c r="P20" s="119">
        <f>IF(I20="I",O20*Contagem!$U$10,IF(I20="E",O20*Contagem!$U$12,IF(I20="A",O20*Contagem!$U$11,IF(I20="T",O20*Contagem!$U$13,""))))</f>
        <v>4</v>
      </c>
      <c r="Q20" s="124"/>
      <c r="R20" s="124"/>
      <c r="S20" s="124"/>
      <c r="T20" s="124"/>
      <c r="U20" s="125"/>
    </row>
    <row r="21" ht="18" customHeight="1" spans="1:21">
      <c r="A21" s="104" t="s">
        <v>65</v>
      </c>
      <c r="B21" s="105"/>
      <c r="C21" s="105"/>
      <c r="D21" s="105"/>
      <c r="E21" s="105"/>
      <c r="F21" s="106"/>
      <c r="G21" s="107" t="s">
        <v>60</v>
      </c>
      <c r="H21" s="108" t="s">
        <v>55</v>
      </c>
      <c r="I21" s="109" t="s">
        <v>47</v>
      </c>
      <c r="J21" s="115">
        <v>14</v>
      </c>
      <c r="K21" s="115">
        <v>3</v>
      </c>
      <c r="L21" s="109" t="str">
        <f t="shared" si="4"/>
        <v>CEA</v>
      </c>
      <c r="M21" s="116" t="str">
        <f t="shared" si="5"/>
        <v>A</v>
      </c>
      <c r="N21" s="117" t="str">
        <f t="shared" si="6"/>
        <v>Média</v>
      </c>
      <c r="O21" s="118">
        <f t="shared" si="7"/>
        <v>4</v>
      </c>
      <c r="P21" s="119">
        <f>IF(I21="I",O21*Contagem!$U$10,IF(I21="E",O21*Contagem!$U$12,IF(I21="A",O21*Contagem!$U$11,IF(I21="T",O21*Contagem!$U$13,""))))</f>
        <v>4</v>
      </c>
      <c r="Q21" s="124"/>
      <c r="R21" s="124"/>
      <c r="S21" s="124"/>
      <c r="T21" s="124"/>
      <c r="U21" s="125"/>
    </row>
    <row r="22" ht="18" customHeight="1" spans="1:21">
      <c r="A22" s="104" t="s">
        <v>66</v>
      </c>
      <c r="B22" s="105"/>
      <c r="C22" s="105"/>
      <c r="D22" s="105"/>
      <c r="E22" s="105"/>
      <c r="F22" s="106"/>
      <c r="G22" s="107" t="s">
        <v>67</v>
      </c>
      <c r="H22" s="109" t="s">
        <v>46</v>
      </c>
      <c r="I22" s="109" t="s">
        <v>47</v>
      </c>
      <c r="J22" s="115">
        <v>4</v>
      </c>
      <c r="K22" s="115">
        <v>1</v>
      </c>
      <c r="L22" s="109" t="str">
        <f t="shared" si="4"/>
        <v>ALIL</v>
      </c>
      <c r="M22" s="116" t="str">
        <f t="shared" si="5"/>
        <v>L</v>
      </c>
      <c r="N22" s="117" t="str">
        <f t="shared" si="6"/>
        <v>Baixa</v>
      </c>
      <c r="O22" s="118">
        <f t="shared" si="7"/>
        <v>7</v>
      </c>
      <c r="P22" s="119">
        <f>IF(I22="I",O22*Contagem!$U$10,IF(I22="E",O22*Contagem!$U$12,IF(I22="A",O22*Contagem!$U$11,IF(I22="T",O22*Contagem!$U$13,""))))</f>
        <v>7</v>
      </c>
      <c r="Q22" s="124"/>
      <c r="R22" s="124"/>
      <c r="S22" s="124"/>
      <c r="T22" s="124"/>
      <c r="U22" s="125"/>
    </row>
    <row r="23" ht="18" customHeight="1" spans="1:21">
      <c r="A23" s="104" t="s">
        <v>68</v>
      </c>
      <c r="B23" s="105"/>
      <c r="C23" s="105"/>
      <c r="D23" s="105"/>
      <c r="E23" s="105"/>
      <c r="F23" s="106"/>
      <c r="G23" s="107" t="s">
        <v>67</v>
      </c>
      <c r="H23" s="109" t="s">
        <v>53</v>
      </c>
      <c r="I23" s="109" t="s">
        <v>47</v>
      </c>
      <c r="J23" s="115">
        <v>4</v>
      </c>
      <c r="K23" s="115">
        <v>1</v>
      </c>
      <c r="L23" s="109" t="str">
        <f t="shared" si="4"/>
        <v>EEL</v>
      </c>
      <c r="M23" s="116" t="str">
        <f t="shared" si="5"/>
        <v>L</v>
      </c>
      <c r="N23" s="117" t="str">
        <f t="shared" si="6"/>
        <v>Baixa</v>
      </c>
      <c r="O23" s="118">
        <f t="shared" si="7"/>
        <v>3</v>
      </c>
      <c r="P23" s="119">
        <f>IF(I23="I",O23*Contagem!$U$10,IF(I23="E",O23*Contagem!$U$12,IF(I23="A",O23*Contagem!$U$11,IF(I23="T",O23*Contagem!$U$13,""))))</f>
        <v>3</v>
      </c>
      <c r="Q23" s="124"/>
      <c r="R23" s="124"/>
      <c r="S23" s="124"/>
      <c r="T23" s="124"/>
      <c r="U23" s="125"/>
    </row>
    <row r="24" ht="18" customHeight="1" spans="1:21">
      <c r="A24" s="104" t="s">
        <v>69</v>
      </c>
      <c r="B24" s="105"/>
      <c r="C24" s="105"/>
      <c r="D24" s="105"/>
      <c r="E24" s="105"/>
      <c r="F24" s="106"/>
      <c r="G24" s="107" t="s">
        <v>67</v>
      </c>
      <c r="H24" s="109" t="s">
        <v>55</v>
      </c>
      <c r="I24" s="109" t="s">
        <v>47</v>
      </c>
      <c r="J24" s="115">
        <v>4</v>
      </c>
      <c r="K24" s="115">
        <v>1</v>
      </c>
      <c r="L24" s="109" t="str">
        <f t="shared" si="4"/>
        <v>CEL</v>
      </c>
      <c r="M24" s="116" t="str">
        <f t="shared" si="5"/>
        <v>L</v>
      </c>
      <c r="N24" s="117" t="str">
        <f t="shared" si="6"/>
        <v>Baixa</v>
      </c>
      <c r="O24" s="118">
        <f t="shared" si="7"/>
        <v>3</v>
      </c>
      <c r="P24" s="119">
        <f>IF(I24="I",O24*Contagem!$U$10,IF(I24="E",O24*Contagem!$U$12,IF(I24="A",O24*Contagem!$U$11,IF(I24="T",O24*Contagem!$U$13,""))))</f>
        <v>3</v>
      </c>
      <c r="Q24" s="124"/>
      <c r="R24" s="124"/>
      <c r="S24" s="124"/>
      <c r="T24" s="124"/>
      <c r="U24" s="125"/>
    </row>
    <row r="25" ht="18" customHeight="1" spans="1:21">
      <c r="A25" s="104" t="s">
        <v>70</v>
      </c>
      <c r="B25" s="105"/>
      <c r="C25" s="105"/>
      <c r="D25" s="105"/>
      <c r="E25" s="105"/>
      <c r="F25" s="106"/>
      <c r="G25" s="107" t="s">
        <v>67</v>
      </c>
      <c r="H25" s="109" t="s">
        <v>53</v>
      </c>
      <c r="I25" s="109" t="s">
        <v>47</v>
      </c>
      <c r="J25" s="115">
        <v>4</v>
      </c>
      <c r="K25" s="115">
        <v>1</v>
      </c>
      <c r="L25" s="109" t="str">
        <f t="shared" si="4"/>
        <v>EEL</v>
      </c>
      <c r="M25" s="116" t="str">
        <f t="shared" si="5"/>
        <v>L</v>
      </c>
      <c r="N25" s="117" t="str">
        <f t="shared" si="6"/>
        <v>Baixa</v>
      </c>
      <c r="O25" s="118">
        <f t="shared" si="7"/>
        <v>3</v>
      </c>
      <c r="P25" s="119">
        <f>IF(I25="I",O25*Contagem!$U$10,IF(I25="E",O25*Contagem!$U$12,IF(I25="A",O25*Contagem!$U$11,IF(I25="T",O25*Contagem!$U$13,""))))</f>
        <v>3</v>
      </c>
      <c r="Q25" s="124"/>
      <c r="R25" s="124"/>
      <c r="S25" s="124"/>
      <c r="T25" s="124"/>
      <c r="U25" s="125"/>
    </row>
    <row r="26" ht="18" customHeight="1" spans="1:21">
      <c r="A26" s="104" t="s">
        <v>71</v>
      </c>
      <c r="B26" s="105"/>
      <c r="C26" s="105"/>
      <c r="D26" s="105"/>
      <c r="E26" s="105"/>
      <c r="F26" s="106"/>
      <c r="G26" s="107" t="s">
        <v>67</v>
      </c>
      <c r="H26" s="109" t="s">
        <v>53</v>
      </c>
      <c r="I26" s="109" t="s">
        <v>47</v>
      </c>
      <c r="J26" s="115">
        <v>1</v>
      </c>
      <c r="K26" s="115">
        <v>1</v>
      </c>
      <c r="L26" s="109" t="str">
        <f t="shared" si="4"/>
        <v>EEL</v>
      </c>
      <c r="M26" s="116" t="str">
        <f t="shared" si="5"/>
        <v>L</v>
      </c>
      <c r="N26" s="117" t="str">
        <f t="shared" si="6"/>
        <v>Baixa</v>
      </c>
      <c r="O26" s="118">
        <f t="shared" si="7"/>
        <v>3</v>
      </c>
      <c r="P26" s="119">
        <f>IF(I26="I",O26*Contagem!$U$10,IF(I26="E",O26*Contagem!$U$12,IF(I26="A",O26*Contagem!$U$11,IF(I26="T",O26*Contagem!$U$13,""))))</f>
        <v>3</v>
      </c>
      <c r="Q26" s="124"/>
      <c r="R26" s="124"/>
      <c r="S26" s="124"/>
      <c r="T26" s="124"/>
      <c r="U26" s="125"/>
    </row>
    <row r="27" ht="18" customHeight="1" spans="1:21">
      <c r="A27" s="104" t="s">
        <v>72</v>
      </c>
      <c r="B27" s="105"/>
      <c r="C27" s="105"/>
      <c r="D27" s="105"/>
      <c r="E27" s="105"/>
      <c r="F27" s="106"/>
      <c r="G27" s="107" t="s">
        <v>67</v>
      </c>
      <c r="H27" s="109" t="s">
        <v>55</v>
      </c>
      <c r="I27" s="109" t="s">
        <v>47</v>
      </c>
      <c r="J27" s="115">
        <v>4</v>
      </c>
      <c r="K27" s="115">
        <v>1</v>
      </c>
      <c r="L27" s="109" t="str">
        <f t="shared" si="4"/>
        <v>CEL</v>
      </c>
      <c r="M27" s="116" t="str">
        <f t="shared" si="5"/>
        <v>L</v>
      </c>
      <c r="N27" s="117" t="str">
        <f t="shared" si="6"/>
        <v>Baixa</v>
      </c>
      <c r="O27" s="118">
        <f t="shared" si="7"/>
        <v>3</v>
      </c>
      <c r="P27" s="119">
        <f>IF(I27="I",O27*Contagem!$U$10,IF(I27="E",O27*Contagem!$U$12,IF(I27="A",O27*Contagem!$U$11,IF(I27="T",O27*Contagem!$U$13,""))))</f>
        <v>3</v>
      </c>
      <c r="Q27" s="124"/>
      <c r="R27" s="124"/>
      <c r="S27" s="124"/>
      <c r="T27" s="124"/>
      <c r="U27" s="125"/>
    </row>
    <row r="28" ht="18" customHeight="1" spans="1:21">
      <c r="A28" s="104" t="s">
        <v>73</v>
      </c>
      <c r="B28" s="105"/>
      <c r="C28" s="105"/>
      <c r="D28" s="105"/>
      <c r="E28" s="105"/>
      <c r="F28" s="106"/>
      <c r="G28" s="107" t="s">
        <v>74</v>
      </c>
      <c r="H28" s="109" t="s">
        <v>46</v>
      </c>
      <c r="I28" s="109" t="s">
        <v>47</v>
      </c>
      <c r="J28" s="115">
        <v>3</v>
      </c>
      <c r="K28" s="115">
        <v>1</v>
      </c>
      <c r="L28" s="109" t="str">
        <f t="shared" si="4"/>
        <v>ALIL</v>
      </c>
      <c r="M28" s="116" t="str">
        <f t="shared" si="5"/>
        <v>L</v>
      </c>
      <c r="N28" s="117" t="str">
        <f t="shared" si="6"/>
        <v>Baixa</v>
      </c>
      <c r="O28" s="118">
        <f t="shared" si="7"/>
        <v>7</v>
      </c>
      <c r="P28" s="119">
        <f>IF(I28="I",O28*Contagem!$U$10,IF(I28="E",O28*Contagem!$U$12,IF(I28="A",O28*Contagem!$U$11,IF(I28="T",O28*Contagem!$U$13,""))))</f>
        <v>7</v>
      </c>
      <c r="Q28" s="124"/>
      <c r="R28" s="124"/>
      <c r="S28" s="124"/>
      <c r="T28" s="124"/>
      <c r="U28" s="125"/>
    </row>
    <row r="29" ht="18" customHeight="1" spans="1:21">
      <c r="A29" s="104" t="s">
        <v>75</v>
      </c>
      <c r="B29" s="105"/>
      <c r="C29" s="105"/>
      <c r="D29" s="105"/>
      <c r="E29" s="105"/>
      <c r="F29" s="106"/>
      <c r="G29" s="107" t="s">
        <v>76</v>
      </c>
      <c r="H29" s="109" t="s">
        <v>53</v>
      </c>
      <c r="I29" s="109" t="s">
        <v>47</v>
      </c>
      <c r="J29" s="115">
        <v>3</v>
      </c>
      <c r="K29" s="115">
        <v>1</v>
      </c>
      <c r="L29" s="109" t="str">
        <f t="shared" si="4"/>
        <v>EEL</v>
      </c>
      <c r="M29" s="116" t="str">
        <f t="shared" si="5"/>
        <v>L</v>
      </c>
      <c r="N29" s="117" t="str">
        <f t="shared" si="6"/>
        <v>Baixa</v>
      </c>
      <c r="O29" s="118">
        <f t="shared" si="7"/>
        <v>3</v>
      </c>
      <c r="P29" s="119">
        <f>IF(I29="I",O29*Contagem!$U$10,IF(I29="E",O29*Contagem!$U$12,IF(I29="A",O29*Contagem!$U$11,IF(I29="T",O29*Contagem!$U$13,""))))</f>
        <v>3</v>
      </c>
      <c r="Q29" s="124"/>
      <c r="R29" s="124"/>
      <c r="S29" s="124"/>
      <c r="T29" s="124"/>
      <c r="U29" s="125"/>
    </row>
    <row r="30" ht="18" customHeight="1" spans="1:21">
      <c r="A30" s="104" t="s">
        <v>77</v>
      </c>
      <c r="B30" s="105"/>
      <c r="C30" s="105"/>
      <c r="D30" s="105"/>
      <c r="E30" s="105"/>
      <c r="F30" s="106"/>
      <c r="G30" s="107" t="s">
        <v>76</v>
      </c>
      <c r="H30" s="109" t="s">
        <v>55</v>
      </c>
      <c r="I30" s="109" t="s">
        <v>47</v>
      </c>
      <c r="J30" s="115">
        <v>3</v>
      </c>
      <c r="K30" s="115">
        <v>1</v>
      </c>
      <c r="L30" s="109" t="str">
        <f t="shared" ref="L30:L42" si="8">CONCATENATE(H30,M30)</f>
        <v>CEL</v>
      </c>
      <c r="M30" s="116" t="str">
        <f t="shared" ref="M30:M42" si="9">IF(OR(ISBLANK(J30),ISBLANK(K30)),IF(OR(H30="ALI",H30="AIE"),"L",IF(ISBLANK(H30),"","A")),IF(H30="EE",IF(K30&gt;=3,IF(J30&gt;=5,"H","A"),IF(K30&gt;=2,IF(J30&gt;=16,"H",IF(J30&lt;=4,"L","A")),IF(J30&lt;=15,"L","A"))),IF(OR(H30="SE",H30="CE"),IF(K30&gt;=4,IF(J30&gt;=6,"H","A"),IF(K30&gt;=2,IF(J30&gt;=20,"H",IF(J30&lt;=5,"L","A")),IF(J30&lt;=19,"L","A"))),IF(OR(H30="ALI",H30="AIE"),IF(K30&gt;=6,IF(J30&gt;=20,"H","A"),IF(K30&gt;=2,IF(J30&gt;=51,"H",IF(J30&lt;=19,"L","A")),IF(J30&lt;=50,"L","A")))))))</f>
        <v>L</v>
      </c>
      <c r="N30" s="117" t="str">
        <f t="shared" ref="N30:N42" si="10">IF(M30="L","Baixa",IF(M30="A","Média",IF(M30="","","Alta")))</f>
        <v>Baixa</v>
      </c>
      <c r="O30" s="118">
        <f t="shared" ref="O30:O42" si="11">IF(ISBLANK(H30),"",IF(H30="ALI",IF(M30="L",7,IF(M30="A",10,15)),IF(H30="AIE",IF(M30="L",5,IF(M30="A",7,10)),IF(H30="SE",IF(M30="L",4,IF(M30="A",5,7)),IF(OR(H30="EE",H30="CE"),IF(M30="L",3,IF(M30="A",4,6)))))))</f>
        <v>3</v>
      </c>
      <c r="P30" s="119">
        <f>IF(I30="I",O30*Contagem!$U$10,IF(I30="E",O30*Contagem!$U$12,IF(I30="A",O30*Contagem!$U$11,IF(I30="T",O30*Contagem!$U$13,""))))</f>
        <v>3</v>
      </c>
      <c r="Q30" s="124"/>
      <c r="R30" s="124"/>
      <c r="S30" s="124"/>
      <c r="T30" s="124"/>
      <c r="U30" s="125"/>
    </row>
    <row r="31" ht="18" customHeight="1" spans="1:21">
      <c r="A31" s="104" t="s">
        <v>78</v>
      </c>
      <c r="B31" s="105"/>
      <c r="C31" s="105"/>
      <c r="D31" s="105"/>
      <c r="E31" s="105"/>
      <c r="F31" s="106"/>
      <c r="G31" s="107" t="s">
        <v>76</v>
      </c>
      <c r="H31" s="109" t="s">
        <v>53</v>
      </c>
      <c r="I31" s="109" t="s">
        <v>47</v>
      </c>
      <c r="J31" s="115">
        <v>3</v>
      </c>
      <c r="K31" s="115">
        <v>1</v>
      </c>
      <c r="L31" s="109" t="str">
        <f t="shared" si="8"/>
        <v>EEL</v>
      </c>
      <c r="M31" s="116" t="str">
        <f t="shared" si="9"/>
        <v>L</v>
      </c>
      <c r="N31" s="117" t="str">
        <f t="shared" si="10"/>
        <v>Baixa</v>
      </c>
      <c r="O31" s="118">
        <f t="shared" si="11"/>
        <v>3</v>
      </c>
      <c r="P31" s="119">
        <f>IF(I31="I",O31*Contagem!$U$10,IF(I31="E",O31*Contagem!$U$12,IF(I31="A",O31*Contagem!$U$11,IF(I31="T",O31*Contagem!$U$13,""))))</f>
        <v>3</v>
      </c>
      <c r="Q31" s="124"/>
      <c r="R31" s="124"/>
      <c r="S31" s="124"/>
      <c r="T31" s="124"/>
      <c r="U31" s="125"/>
    </row>
    <row r="32" ht="18" customHeight="1" spans="1:21">
      <c r="A32" s="104" t="s">
        <v>79</v>
      </c>
      <c r="B32" s="105"/>
      <c r="C32" s="105"/>
      <c r="D32" s="105"/>
      <c r="E32" s="105"/>
      <c r="F32" s="106"/>
      <c r="G32" s="107" t="s">
        <v>76</v>
      </c>
      <c r="H32" s="109" t="s">
        <v>53</v>
      </c>
      <c r="I32" s="109" t="s">
        <v>47</v>
      </c>
      <c r="J32" s="115">
        <v>1</v>
      </c>
      <c r="K32" s="115">
        <v>1</v>
      </c>
      <c r="L32" s="109" t="str">
        <f t="shared" si="8"/>
        <v>EEL</v>
      </c>
      <c r="M32" s="116" t="str">
        <f t="shared" si="9"/>
        <v>L</v>
      </c>
      <c r="N32" s="117" t="str">
        <f t="shared" si="10"/>
        <v>Baixa</v>
      </c>
      <c r="O32" s="118">
        <f t="shared" si="11"/>
        <v>3</v>
      </c>
      <c r="P32" s="119">
        <f>IF(I32="I",O32*Contagem!$U$10,IF(I32="E",O32*Contagem!$U$12,IF(I32="A",O32*Contagem!$U$11,IF(I32="T",O32*Contagem!$U$13,""))))</f>
        <v>3</v>
      </c>
      <c r="Q32" s="124"/>
      <c r="R32" s="124"/>
      <c r="S32" s="124"/>
      <c r="T32" s="124"/>
      <c r="U32" s="125"/>
    </row>
    <row r="33" ht="18" customHeight="1" spans="1:21">
      <c r="A33" s="104" t="s">
        <v>80</v>
      </c>
      <c r="B33" s="105"/>
      <c r="C33" s="105"/>
      <c r="D33" s="105"/>
      <c r="E33" s="105"/>
      <c r="F33" s="106"/>
      <c r="G33" s="107" t="s">
        <v>76</v>
      </c>
      <c r="H33" s="109" t="s">
        <v>55</v>
      </c>
      <c r="I33" s="109" t="s">
        <v>47</v>
      </c>
      <c r="J33" s="115">
        <v>3</v>
      </c>
      <c r="K33" s="115">
        <v>1</v>
      </c>
      <c r="L33" s="109" t="str">
        <f t="shared" si="8"/>
        <v>CEL</v>
      </c>
      <c r="M33" s="116" t="str">
        <f t="shared" si="9"/>
        <v>L</v>
      </c>
      <c r="N33" s="117" t="str">
        <f t="shared" si="10"/>
        <v>Baixa</v>
      </c>
      <c r="O33" s="118">
        <f t="shared" si="11"/>
        <v>3</v>
      </c>
      <c r="P33" s="119">
        <f>IF(I33="I",O33*Contagem!$U$10,IF(I33="E",O33*Contagem!$U$12,IF(I33="A",O33*Contagem!$U$11,IF(I33="T",O33*Contagem!$U$13,""))))</f>
        <v>3</v>
      </c>
      <c r="Q33" s="124"/>
      <c r="R33" s="124"/>
      <c r="S33" s="124"/>
      <c r="T33" s="124"/>
      <c r="U33" s="125"/>
    </row>
    <row r="34" ht="18" customHeight="1" spans="1:21">
      <c r="A34" s="104" t="s">
        <v>81</v>
      </c>
      <c r="B34" s="105"/>
      <c r="C34" s="105"/>
      <c r="D34" s="105"/>
      <c r="E34" s="105"/>
      <c r="F34" s="106"/>
      <c r="G34" s="107" t="s">
        <v>82</v>
      </c>
      <c r="H34" s="109" t="s">
        <v>53</v>
      </c>
      <c r="I34" s="109" t="s">
        <v>47</v>
      </c>
      <c r="J34" s="115">
        <v>1</v>
      </c>
      <c r="K34" s="115">
        <v>1</v>
      </c>
      <c r="L34" s="109" t="str">
        <f t="shared" si="8"/>
        <v>EEL</v>
      </c>
      <c r="M34" s="116" t="str">
        <f t="shared" si="9"/>
        <v>L</v>
      </c>
      <c r="N34" s="117" t="str">
        <f t="shared" si="10"/>
        <v>Baixa</v>
      </c>
      <c r="O34" s="118">
        <f t="shared" si="11"/>
        <v>3</v>
      </c>
      <c r="P34" s="119">
        <f>IF(I34="I",O34*Contagem!$U$10,IF(I34="E",O34*Contagem!$U$12,IF(I34="A",O34*Contagem!$U$11,IF(I34="T",O34*Contagem!$U$13,""))))</f>
        <v>3</v>
      </c>
      <c r="Q34" s="124"/>
      <c r="R34" s="124"/>
      <c r="S34" s="124"/>
      <c r="T34" s="124"/>
      <c r="U34" s="125"/>
    </row>
    <row r="35" ht="18" customHeight="1" spans="1:21">
      <c r="A35" s="104" t="s">
        <v>83</v>
      </c>
      <c r="B35" s="105"/>
      <c r="C35" s="105"/>
      <c r="D35" s="105"/>
      <c r="E35" s="105"/>
      <c r="F35" s="106"/>
      <c r="G35" s="107" t="s">
        <v>84</v>
      </c>
      <c r="H35" s="109" t="s">
        <v>49</v>
      </c>
      <c r="I35" s="109" t="s">
        <v>47</v>
      </c>
      <c r="J35" s="115">
        <v>1</v>
      </c>
      <c r="K35" s="115">
        <v>2</v>
      </c>
      <c r="L35" s="109" t="str">
        <f t="shared" si="8"/>
        <v>SEL</v>
      </c>
      <c r="M35" s="116" t="str">
        <f t="shared" si="9"/>
        <v>L</v>
      </c>
      <c r="N35" s="117" t="str">
        <f t="shared" si="10"/>
        <v>Baixa</v>
      </c>
      <c r="O35" s="118">
        <f t="shared" si="11"/>
        <v>4</v>
      </c>
      <c r="P35" s="119">
        <f>IF(I35="I",O35*Contagem!$U$10,IF(I35="E",O35*Contagem!$U$12,IF(I35="A",O35*Contagem!$U$11,IF(I35="T",O35*Contagem!$U$13,""))))</f>
        <v>4</v>
      </c>
      <c r="Q35" s="124"/>
      <c r="R35" s="124"/>
      <c r="S35" s="124"/>
      <c r="T35" s="124"/>
      <c r="U35" s="125"/>
    </row>
    <row r="36" ht="18" customHeight="1" spans="1:21">
      <c r="A36" s="104"/>
      <c r="B36" s="105"/>
      <c r="C36" s="105"/>
      <c r="D36" s="105"/>
      <c r="E36" s="105"/>
      <c r="F36" s="106"/>
      <c r="G36" s="107"/>
      <c r="H36" s="109"/>
      <c r="I36" s="109"/>
      <c r="J36" s="115"/>
      <c r="K36" s="115"/>
      <c r="L36" s="109" t="str">
        <f t="shared" si="8"/>
        <v/>
      </c>
      <c r="M36" s="116" t="str">
        <f t="shared" si="9"/>
        <v/>
      </c>
      <c r="N36" s="117" t="str">
        <f t="shared" si="10"/>
        <v/>
      </c>
      <c r="O36" s="118" t="str">
        <f t="shared" si="11"/>
        <v/>
      </c>
      <c r="P36" s="119" t="str">
        <f>IF(I36="I",O36*Contagem!$U$10,IF(I36="E",O36*Contagem!$U$12,IF(I36="A",O36*Contagem!$U$11,IF(I36="T",O36*Contagem!$U$13,""))))</f>
        <v/>
      </c>
      <c r="Q36" s="124"/>
      <c r="R36" s="124"/>
      <c r="S36" s="124"/>
      <c r="T36" s="124"/>
      <c r="U36" s="125"/>
    </row>
    <row r="37" ht="18" customHeight="1" spans="1:21">
      <c r="A37" s="104"/>
      <c r="B37" s="105"/>
      <c r="C37" s="105"/>
      <c r="D37" s="105"/>
      <c r="E37" s="105"/>
      <c r="F37" s="106"/>
      <c r="G37" s="107"/>
      <c r="H37" s="109"/>
      <c r="I37" s="109"/>
      <c r="J37" s="115"/>
      <c r="K37" s="115"/>
      <c r="L37" s="109" t="str">
        <f t="shared" si="8"/>
        <v/>
      </c>
      <c r="M37" s="116" t="str">
        <f t="shared" si="9"/>
        <v/>
      </c>
      <c r="N37" s="117" t="str">
        <f t="shared" si="10"/>
        <v/>
      </c>
      <c r="O37" s="118" t="str">
        <f t="shared" si="11"/>
        <v/>
      </c>
      <c r="P37" s="119" t="str">
        <f>IF(I37="I",O37*Contagem!$U$10,IF(I37="E",O37*Contagem!$U$12,IF(I37="A",O37*Contagem!$U$11,IF(I37="T",O37*Contagem!$U$13,""))))</f>
        <v/>
      </c>
      <c r="Q37" s="124"/>
      <c r="R37" s="124"/>
      <c r="S37" s="124"/>
      <c r="T37" s="124"/>
      <c r="U37" s="125"/>
    </row>
    <row r="38" ht="18" customHeight="1" spans="1:21">
      <c r="A38" s="104"/>
      <c r="B38" s="105"/>
      <c r="C38" s="105"/>
      <c r="D38" s="105"/>
      <c r="E38" s="105"/>
      <c r="F38" s="106"/>
      <c r="G38" s="107"/>
      <c r="H38" s="109"/>
      <c r="I38" s="109"/>
      <c r="J38" s="115"/>
      <c r="K38" s="115"/>
      <c r="L38" s="109" t="str">
        <f t="shared" si="8"/>
        <v/>
      </c>
      <c r="M38" s="116" t="str">
        <f t="shared" si="9"/>
        <v/>
      </c>
      <c r="N38" s="117" t="str">
        <f t="shared" si="10"/>
        <v/>
      </c>
      <c r="O38" s="118" t="str">
        <f t="shared" si="11"/>
        <v/>
      </c>
      <c r="P38" s="119" t="str">
        <f>IF(I38="I",O38*Contagem!$U$10,IF(I38="E",O38*Contagem!$U$12,IF(I38="A",O38*Contagem!$U$11,IF(I38="T",O38*Contagem!$U$13,""))))</f>
        <v/>
      </c>
      <c r="Q38" s="124"/>
      <c r="R38" s="124"/>
      <c r="S38" s="124"/>
      <c r="T38" s="124"/>
      <c r="U38" s="125"/>
    </row>
    <row r="39" ht="18" customHeight="1" spans="1:21">
      <c r="A39" s="104"/>
      <c r="B39" s="105"/>
      <c r="C39" s="105"/>
      <c r="D39" s="105"/>
      <c r="E39" s="105"/>
      <c r="F39" s="106"/>
      <c r="G39" s="107"/>
      <c r="H39" s="109"/>
      <c r="I39" s="109"/>
      <c r="J39" s="115"/>
      <c r="K39" s="115"/>
      <c r="L39" s="109" t="str">
        <f t="shared" si="8"/>
        <v/>
      </c>
      <c r="M39" s="116" t="str">
        <f t="shared" si="9"/>
        <v/>
      </c>
      <c r="N39" s="117" t="str">
        <f t="shared" si="10"/>
        <v/>
      </c>
      <c r="O39" s="118" t="str">
        <f t="shared" si="11"/>
        <v/>
      </c>
      <c r="P39" s="119" t="str">
        <f>IF(I39="I",O39*Contagem!$U$10,IF(I39="E",O39*Contagem!$U$12,IF(I39="A",O39*Contagem!$U$11,IF(I39="T",O39*Contagem!$U$13,""))))</f>
        <v/>
      </c>
      <c r="Q39" s="124"/>
      <c r="R39" s="124"/>
      <c r="S39" s="124"/>
      <c r="T39" s="124"/>
      <c r="U39" s="125"/>
    </row>
    <row r="40" ht="18" customHeight="1" spans="1:21">
      <c r="A40" s="104"/>
      <c r="B40" s="105"/>
      <c r="C40" s="105"/>
      <c r="D40" s="105"/>
      <c r="E40" s="105"/>
      <c r="F40" s="106"/>
      <c r="G40" s="107"/>
      <c r="H40" s="109"/>
      <c r="I40" s="109"/>
      <c r="J40" s="115"/>
      <c r="K40" s="115"/>
      <c r="L40" s="109" t="str">
        <f t="shared" si="8"/>
        <v/>
      </c>
      <c r="M40" s="116" t="str">
        <f t="shared" si="9"/>
        <v/>
      </c>
      <c r="N40" s="117" t="str">
        <f t="shared" si="10"/>
        <v/>
      </c>
      <c r="O40" s="118" t="str">
        <f t="shared" si="11"/>
        <v/>
      </c>
      <c r="P40" s="119" t="str">
        <f>IF(I40="I",O40*Contagem!$U$10,IF(I40="E",O40*Contagem!$U$12,IF(I40="A",O40*Contagem!$U$11,IF(I40="T",O40*Contagem!$U$13,""))))</f>
        <v/>
      </c>
      <c r="Q40" s="124"/>
      <c r="R40" s="124"/>
      <c r="S40" s="124"/>
      <c r="T40" s="124"/>
      <c r="U40" s="125"/>
    </row>
    <row r="41" ht="18" customHeight="1" spans="1:21">
      <c r="A41" s="104"/>
      <c r="B41" s="105"/>
      <c r="C41" s="105"/>
      <c r="D41" s="105"/>
      <c r="E41" s="105"/>
      <c r="F41" s="106"/>
      <c r="G41" s="107"/>
      <c r="H41" s="109"/>
      <c r="I41" s="109"/>
      <c r="J41" s="115"/>
      <c r="K41" s="115"/>
      <c r="L41" s="109" t="str">
        <f t="shared" si="8"/>
        <v/>
      </c>
      <c r="M41" s="116" t="str">
        <f t="shared" si="9"/>
        <v/>
      </c>
      <c r="N41" s="117" t="str">
        <f t="shared" si="10"/>
        <v/>
      </c>
      <c r="O41" s="118" t="str">
        <f t="shared" si="11"/>
        <v/>
      </c>
      <c r="P41" s="119" t="str">
        <f>IF(I41="I",O41*Contagem!$U$10,IF(I41="E",O41*Contagem!$U$12,IF(I41="A",O41*Contagem!$U$11,IF(I41="T",O41*Contagem!$U$13,""))))</f>
        <v/>
      </c>
      <c r="Q41" s="124"/>
      <c r="R41" s="124"/>
      <c r="S41" s="124"/>
      <c r="T41" s="124"/>
      <c r="U41" s="125"/>
    </row>
    <row r="42" ht="18" customHeight="1" spans="1:21">
      <c r="A42" s="104"/>
      <c r="B42" s="105"/>
      <c r="C42" s="105"/>
      <c r="D42" s="105"/>
      <c r="E42" s="105"/>
      <c r="F42" s="106"/>
      <c r="G42" s="107"/>
      <c r="H42" s="109"/>
      <c r="I42" s="109"/>
      <c r="J42" s="115"/>
      <c r="K42" s="115"/>
      <c r="L42" s="109" t="str">
        <f t="shared" si="8"/>
        <v/>
      </c>
      <c r="M42" s="116" t="str">
        <f t="shared" si="9"/>
        <v/>
      </c>
      <c r="N42" s="117" t="str">
        <f t="shared" si="10"/>
        <v/>
      </c>
      <c r="O42" s="118" t="str">
        <f t="shared" si="11"/>
        <v/>
      </c>
      <c r="P42" s="119" t="str">
        <f>IF(I42="I",O42*Contagem!$U$10,IF(I42="E",O42*Contagem!$U$12,IF(I42="A",O42*Contagem!$U$11,IF(I42="T",O42*Contagem!$U$13,""))))</f>
        <v/>
      </c>
      <c r="Q42" s="124"/>
      <c r="R42" s="124"/>
      <c r="S42" s="124"/>
      <c r="T42" s="124"/>
      <c r="U42" s="125"/>
    </row>
    <row r="43" ht="18" customHeight="1" spans="1:21">
      <c r="A43" s="104"/>
      <c r="B43" s="105"/>
      <c r="C43" s="105"/>
      <c r="D43" s="105"/>
      <c r="E43" s="105"/>
      <c r="F43" s="106"/>
      <c r="G43" s="107"/>
      <c r="H43" s="109"/>
      <c r="I43" s="109"/>
      <c r="J43" s="115"/>
      <c r="K43" s="115"/>
      <c r="L43" s="109"/>
      <c r="M43" s="116"/>
      <c r="N43" s="117"/>
      <c r="O43" s="118"/>
      <c r="P43" s="119" t="str">
        <f>IF(I43="I",O43*Contagem!$U$10,IF(I43="E",O43*Contagem!$U$12,IF(I43="A",O43*Contagem!$U$11,IF(I43="T",O43*Contagem!$U$13,""))))</f>
        <v/>
      </c>
      <c r="Q43" s="124"/>
      <c r="R43" s="124"/>
      <c r="S43" s="124"/>
      <c r="T43" s="124"/>
      <c r="U43" s="125"/>
    </row>
    <row r="44" ht="18" customHeight="1" spans="1:21">
      <c r="A44" s="104"/>
      <c r="B44" s="105"/>
      <c r="C44" s="105"/>
      <c r="D44" s="105"/>
      <c r="E44" s="105"/>
      <c r="F44" s="106"/>
      <c r="G44" s="107"/>
      <c r="H44" s="109"/>
      <c r="I44" s="109"/>
      <c r="J44" s="115"/>
      <c r="K44" s="115"/>
      <c r="L44" s="109"/>
      <c r="M44" s="116"/>
      <c r="N44" s="117"/>
      <c r="O44" s="118"/>
      <c r="P44" s="119" t="str">
        <f>IF(I44="I",O44*Contagem!$U$10,IF(I44="E",O44*Contagem!$U$12,IF(I44="A",O44*Contagem!$U$11,IF(I44="T",O44*Contagem!$U$13,""))))</f>
        <v/>
      </c>
      <c r="Q44" s="124"/>
      <c r="R44" s="124"/>
      <c r="S44" s="124"/>
      <c r="T44" s="124"/>
      <c r="U44" s="125"/>
    </row>
    <row r="45" ht="18" customHeight="1" spans="1:21">
      <c r="A45" s="104"/>
      <c r="B45" s="105"/>
      <c r="C45" s="105"/>
      <c r="D45" s="105"/>
      <c r="E45" s="105"/>
      <c r="F45" s="106"/>
      <c r="G45" s="107"/>
      <c r="H45" s="109"/>
      <c r="I45" s="109"/>
      <c r="J45" s="115"/>
      <c r="K45" s="115"/>
      <c r="L45" s="109"/>
      <c r="M45" s="116"/>
      <c r="N45" s="117"/>
      <c r="O45" s="118"/>
      <c r="P45" s="119" t="str">
        <f>IF(I45="I",O45*Contagem!$U$10,IF(I45="E",O45*Contagem!$U$12,IF(I45="A",O45*Contagem!$U$11,IF(I45="T",O45*Contagem!$U$13,""))))</f>
        <v/>
      </c>
      <c r="Q45" s="124"/>
      <c r="R45" s="124"/>
      <c r="S45" s="124"/>
      <c r="T45" s="124"/>
      <c r="U45" s="125"/>
    </row>
    <row r="46" ht="18" customHeight="1" spans="1:21">
      <c r="A46" s="104"/>
      <c r="B46" s="105"/>
      <c r="C46" s="105"/>
      <c r="D46" s="105"/>
      <c r="E46" s="105"/>
      <c r="F46" s="106"/>
      <c r="G46" s="107"/>
      <c r="H46" s="109"/>
      <c r="I46" s="109"/>
      <c r="J46" s="115"/>
      <c r="K46" s="115"/>
      <c r="L46" s="109"/>
      <c r="M46" s="116"/>
      <c r="N46" s="117"/>
      <c r="O46" s="118"/>
      <c r="P46" s="119" t="str">
        <f>IF(I46="I",O46*Contagem!$U$10,IF(I46="E",O46*Contagem!$U$12,IF(I46="A",O46*Contagem!$U$11,IF(I46="T",O46*Contagem!$U$13,""))))</f>
        <v/>
      </c>
      <c r="Q46" s="124"/>
      <c r="R46" s="124"/>
      <c r="S46" s="124"/>
      <c r="T46" s="124"/>
      <c r="U46" s="125"/>
    </row>
    <row r="47" ht="18" customHeight="1" spans="1:21">
      <c r="A47" s="104"/>
      <c r="B47" s="105"/>
      <c r="C47" s="105"/>
      <c r="D47" s="105"/>
      <c r="E47" s="105"/>
      <c r="F47" s="106"/>
      <c r="G47" s="107"/>
      <c r="H47" s="109"/>
      <c r="I47" s="109"/>
      <c r="J47" s="115"/>
      <c r="K47" s="115"/>
      <c r="L47" s="109"/>
      <c r="M47" s="116"/>
      <c r="N47" s="117"/>
      <c r="O47" s="118"/>
      <c r="P47" s="119" t="str">
        <f>IF(I47="I",O47*Contagem!$U$10,IF(I47="E",O47*Contagem!$U$12,IF(I47="A",O47*Contagem!$U$11,IF(I47="T",O47*Contagem!$U$13,""))))</f>
        <v/>
      </c>
      <c r="Q47" s="124"/>
      <c r="R47" s="124"/>
      <c r="S47" s="124"/>
      <c r="T47" s="124"/>
      <c r="U47" s="125"/>
    </row>
    <row r="48" ht="18" customHeight="1" spans="1:21">
      <c r="A48" s="104"/>
      <c r="B48" s="105"/>
      <c r="C48" s="105"/>
      <c r="D48" s="105"/>
      <c r="E48" s="105"/>
      <c r="F48" s="106"/>
      <c r="G48" s="107"/>
      <c r="H48" s="109"/>
      <c r="I48" s="109"/>
      <c r="J48" s="115"/>
      <c r="K48" s="115"/>
      <c r="L48" s="109"/>
      <c r="M48" s="116"/>
      <c r="N48" s="117"/>
      <c r="O48" s="118"/>
      <c r="P48" s="119" t="str">
        <f>IF(I48="I",O48*Contagem!$U$10,IF(I48="E",O48*Contagem!$U$12,IF(I48="A",O48*Contagem!$U$11,IF(I48="T",O48*Contagem!$U$13,""))))</f>
        <v/>
      </c>
      <c r="Q48" s="124"/>
      <c r="R48" s="124"/>
      <c r="S48" s="124"/>
      <c r="T48" s="124"/>
      <c r="U48" s="125"/>
    </row>
    <row r="49" ht="18" customHeight="1" spans="1:21">
      <c r="A49" s="104"/>
      <c r="B49" s="105"/>
      <c r="C49" s="105"/>
      <c r="D49" s="105"/>
      <c r="E49" s="105"/>
      <c r="F49" s="106"/>
      <c r="G49" s="107"/>
      <c r="H49" s="109"/>
      <c r="I49" s="109"/>
      <c r="J49" s="115"/>
      <c r="K49" s="115"/>
      <c r="L49" s="109"/>
      <c r="M49" s="116"/>
      <c r="N49" s="117"/>
      <c r="O49" s="118"/>
      <c r="P49" s="119" t="str">
        <f>IF(I49="I",O49*Contagem!$U$10,IF(I49="E",O49*Contagem!$U$12,IF(I49="A",O49*Contagem!$U$11,IF(I49="T",O49*Contagem!$U$13,""))))</f>
        <v/>
      </c>
      <c r="Q49" s="124"/>
      <c r="R49" s="124"/>
      <c r="S49" s="124"/>
      <c r="T49" s="124"/>
      <c r="U49" s="125"/>
    </row>
    <row r="50" ht="18" customHeight="1" spans="1:21">
      <c r="A50" s="104"/>
      <c r="B50" s="105"/>
      <c r="C50" s="105"/>
      <c r="D50" s="105"/>
      <c r="E50" s="105"/>
      <c r="F50" s="106"/>
      <c r="G50" s="107"/>
      <c r="H50" s="109"/>
      <c r="I50" s="109"/>
      <c r="J50" s="115"/>
      <c r="K50" s="115"/>
      <c r="L50" s="109"/>
      <c r="M50" s="116"/>
      <c r="N50" s="117"/>
      <c r="O50" s="118"/>
      <c r="P50" s="119" t="str">
        <f>IF(I50="I",O50*Contagem!$U$10,IF(I50="E",O50*Contagem!$U$12,IF(I50="A",O50*Contagem!$U$11,IF(I50="T",O50*Contagem!$U$13,""))))</f>
        <v/>
      </c>
      <c r="Q50" s="124"/>
      <c r="R50" s="124"/>
      <c r="S50" s="124"/>
      <c r="T50" s="124"/>
      <c r="U50" s="125"/>
    </row>
    <row r="51" ht="18" customHeight="1" spans="1:21">
      <c r="A51" s="104"/>
      <c r="B51" s="105"/>
      <c r="C51" s="105"/>
      <c r="D51" s="105"/>
      <c r="E51" s="105"/>
      <c r="F51" s="106"/>
      <c r="G51" s="107"/>
      <c r="H51" s="109"/>
      <c r="I51" s="109"/>
      <c r="J51" s="115"/>
      <c r="K51" s="115"/>
      <c r="L51" s="109"/>
      <c r="M51" s="116"/>
      <c r="N51" s="117"/>
      <c r="O51" s="118"/>
      <c r="P51" s="119" t="str">
        <f>IF(I51="I",O51*Contagem!$U$10,IF(I51="E",O51*Contagem!$U$12,IF(I51="A",O51*Contagem!$U$11,IF(I51="T",O51*Contagem!$U$13,""))))</f>
        <v/>
      </c>
      <c r="Q51" s="124"/>
      <c r="R51" s="124"/>
      <c r="S51" s="124"/>
      <c r="T51" s="124"/>
      <c r="U51" s="125"/>
    </row>
    <row r="52" ht="18" customHeight="1" spans="1:21">
      <c r="A52" s="104"/>
      <c r="B52" s="105"/>
      <c r="C52" s="105"/>
      <c r="D52" s="105"/>
      <c r="E52" s="105"/>
      <c r="F52" s="106"/>
      <c r="G52" s="107"/>
      <c r="H52" s="109"/>
      <c r="I52" s="109"/>
      <c r="J52" s="115"/>
      <c r="K52" s="115"/>
      <c r="L52" s="109"/>
      <c r="M52" s="116"/>
      <c r="N52" s="117"/>
      <c r="O52" s="118"/>
      <c r="P52" s="119" t="str">
        <f>IF(I52="I",O52*Contagem!$U$10,IF(I52="E",O52*Contagem!$U$12,IF(I52="A",O52*Contagem!$U$11,IF(I52="T",O52*Contagem!$U$13,""))))</f>
        <v/>
      </c>
      <c r="Q52" s="124"/>
      <c r="R52" s="124"/>
      <c r="S52" s="124"/>
      <c r="T52" s="124"/>
      <c r="U52" s="125"/>
    </row>
    <row r="53" ht="18" customHeight="1" spans="1:21">
      <c r="A53" s="104"/>
      <c r="B53" s="105"/>
      <c r="C53" s="105"/>
      <c r="D53" s="105"/>
      <c r="E53" s="105"/>
      <c r="F53" s="106"/>
      <c r="G53" s="107"/>
      <c r="H53" s="109"/>
      <c r="I53" s="109"/>
      <c r="J53" s="115"/>
      <c r="K53" s="115"/>
      <c r="L53" s="109"/>
      <c r="M53" s="116"/>
      <c r="N53" s="117"/>
      <c r="O53" s="118"/>
      <c r="P53" s="119"/>
      <c r="Q53" s="124"/>
      <c r="R53" s="124"/>
      <c r="S53" s="124"/>
      <c r="T53" s="124"/>
      <c r="U53" s="125"/>
    </row>
    <row r="54" ht="18" customHeight="1" spans="1:21">
      <c r="A54" s="104"/>
      <c r="B54" s="105"/>
      <c r="C54" s="105"/>
      <c r="D54" s="105"/>
      <c r="E54" s="105"/>
      <c r="F54" s="106"/>
      <c r="G54" s="107"/>
      <c r="H54" s="109"/>
      <c r="I54" s="109"/>
      <c r="J54" s="115"/>
      <c r="K54" s="115"/>
      <c r="L54" s="109"/>
      <c r="M54" s="116"/>
      <c r="N54" s="117"/>
      <c r="O54" s="118"/>
      <c r="P54" s="119"/>
      <c r="Q54" s="124"/>
      <c r="R54" s="124"/>
      <c r="S54" s="124"/>
      <c r="T54" s="124"/>
      <c r="U54" s="125"/>
    </row>
    <row r="55" ht="18" customHeight="1" spans="1:21">
      <c r="A55" s="104"/>
      <c r="B55" s="105"/>
      <c r="C55" s="105"/>
      <c r="D55" s="105"/>
      <c r="E55" s="105"/>
      <c r="F55" s="106"/>
      <c r="G55" s="107"/>
      <c r="H55" s="109"/>
      <c r="I55" s="109"/>
      <c r="J55" s="115"/>
      <c r="K55" s="115"/>
      <c r="L55" s="109"/>
      <c r="M55" s="116"/>
      <c r="N55" s="117"/>
      <c r="O55" s="118"/>
      <c r="P55" s="119"/>
      <c r="Q55" s="124"/>
      <c r="R55" s="124"/>
      <c r="S55" s="124"/>
      <c r="T55" s="124"/>
      <c r="U55" s="125"/>
    </row>
    <row r="56" ht="18" customHeight="1" spans="1:21">
      <c r="A56" s="104"/>
      <c r="B56" s="105"/>
      <c r="C56" s="105"/>
      <c r="D56" s="105"/>
      <c r="E56" s="105"/>
      <c r="F56" s="106"/>
      <c r="G56" s="107"/>
      <c r="H56" s="109"/>
      <c r="I56" s="109"/>
      <c r="J56" s="115"/>
      <c r="K56" s="115"/>
      <c r="L56" s="109"/>
      <c r="M56" s="116"/>
      <c r="N56" s="117"/>
      <c r="O56" s="118"/>
      <c r="P56" s="119"/>
      <c r="Q56" s="124"/>
      <c r="R56" s="124"/>
      <c r="S56" s="124"/>
      <c r="T56" s="124"/>
      <c r="U56" s="125"/>
    </row>
    <row r="57" ht="18" customHeight="1" spans="1:21">
      <c r="A57" s="104"/>
      <c r="B57" s="105"/>
      <c r="C57" s="105"/>
      <c r="D57" s="105"/>
      <c r="E57" s="105"/>
      <c r="F57" s="106"/>
      <c r="G57" s="107"/>
      <c r="H57" s="109"/>
      <c r="I57" s="109"/>
      <c r="J57" s="115"/>
      <c r="K57" s="115"/>
      <c r="L57" s="109"/>
      <c r="M57" s="116"/>
      <c r="N57" s="117"/>
      <c r="O57" s="118"/>
      <c r="P57" s="119"/>
      <c r="Q57" s="124"/>
      <c r="R57" s="124"/>
      <c r="S57" s="124"/>
      <c r="T57" s="124"/>
      <c r="U57" s="125"/>
    </row>
    <row r="58" ht="18" customHeight="1" spans="1:21">
      <c r="A58" s="104"/>
      <c r="B58" s="105"/>
      <c r="C58" s="105"/>
      <c r="D58" s="105"/>
      <c r="E58" s="105"/>
      <c r="F58" s="106"/>
      <c r="G58" s="107"/>
      <c r="H58" s="109"/>
      <c r="I58" s="109"/>
      <c r="J58" s="115"/>
      <c r="K58" s="115"/>
      <c r="L58" s="109"/>
      <c r="M58" s="116"/>
      <c r="N58" s="117"/>
      <c r="O58" s="118"/>
      <c r="P58" s="119"/>
      <c r="Q58" s="124"/>
      <c r="R58" s="124"/>
      <c r="S58" s="124"/>
      <c r="T58" s="124"/>
      <c r="U58" s="125"/>
    </row>
    <row r="59" ht="18" customHeight="1" spans="1:21">
      <c r="A59" s="104"/>
      <c r="B59" s="105"/>
      <c r="C59" s="105"/>
      <c r="D59" s="105"/>
      <c r="E59" s="105"/>
      <c r="F59" s="106"/>
      <c r="G59" s="107"/>
      <c r="H59" s="109"/>
      <c r="I59" s="109"/>
      <c r="J59" s="115"/>
      <c r="K59" s="115"/>
      <c r="L59" s="109"/>
      <c r="M59" s="116"/>
      <c r="N59" s="117"/>
      <c r="O59" s="118"/>
      <c r="P59" s="119"/>
      <c r="Q59" s="124"/>
      <c r="R59" s="124"/>
      <c r="S59" s="124"/>
      <c r="T59" s="124"/>
      <c r="U59" s="125"/>
    </row>
    <row r="60" ht="18" customHeight="1" spans="1:21">
      <c r="A60" s="104"/>
      <c r="B60" s="105"/>
      <c r="C60" s="105"/>
      <c r="D60" s="105"/>
      <c r="E60" s="105"/>
      <c r="F60" s="106"/>
      <c r="G60" s="107"/>
      <c r="H60" s="109"/>
      <c r="I60" s="109"/>
      <c r="J60" s="115"/>
      <c r="K60" s="115"/>
      <c r="L60" s="109"/>
      <c r="M60" s="116"/>
      <c r="N60" s="117"/>
      <c r="O60" s="118"/>
      <c r="P60" s="119"/>
      <c r="Q60" s="124"/>
      <c r="R60" s="124"/>
      <c r="S60" s="124"/>
      <c r="T60" s="124"/>
      <c r="U60" s="125"/>
    </row>
    <row r="61" ht="18" customHeight="1" spans="1:21">
      <c r="A61" s="104"/>
      <c r="B61" s="105"/>
      <c r="C61" s="105"/>
      <c r="D61" s="105"/>
      <c r="E61" s="105"/>
      <c r="F61" s="106"/>
      <c r="G61" s="107"/>
      <c r="H61" s="109"/>
      <c r="I61" s="109"/>
      <c r="J61" s="115"/>
      <c r="K61" s="115"/>
      <c r="L61" s="109"/>
      <c r="M61" s="116"/>
      <c r="N61" s="117"/>
      <c r="O61" s="118"/>
      <c r="P61" s="119"/>
      <c r="Q61" s="124"/>
      <c r="R61" s="124"/>
      <c r="S61" s="124"/>
      <c r="T61" s="124"/>
      <c r="U61" s="125"/>
    </row>
    <row r="62" ht="18" customHeight="1" spans="1:21">
      <c r="A62" s="104"/>
      <c r="B62" s="105"/>
      <c r="C62" s="105"/>
      <c r="D62" s="105"/>
      <c r="E62" s="105"/>
      <c r="F62" s="106"/>
      <c r="G62" s="107"/>
      <c r="H62" s="109"/>
      <c r="I62" s="109"/>
      <c r="J62" s="115"/>
      <c r="K62" s="115"/>
      <c r="L62" s="109"/>
      <c r="M62" s="116"/>
      <c r="N62" s="117"/>
      <c r="O62" s="118"/>
      <c r="P62" s="119"/>
      <c r="Q62" s="124"/>
      <c r="R62" s="124"/>
      <c r="S62" s="124"/>
      <c r="T62" s="124"/>
      <c r="U62" s="125"/>
    </row>
    <row r="63" ht="18" customHeight="1" spans="1:21">
      <c r="A63" s="104"/>
      <c r="B63" s="105"/>
      <c r="C63" s="105"/>
      <c r="D63" s="105"/>
      <c r="E63" s="105"/>
      <c r="F63" s="106"/>
      <c r="G63" s="107"/>
      <c r="H63" s="109"/>
      <c r="I63" s="109"/>
      <c r="J63" s="115"/>
      <c r="K63" s="115"/>
      <c r="L63" s="109"/>
      <c r="M63" s="116"/>
      <c r="N63" s="117"/>
      <c r="O63" s="118"/>
      <c r="P63" s="119"/>
      <c r="Q63" s="124"/>
      <c r="R63" s="124"/>
      <c r="S63" s="124"/>
      <c r="T63" s="124"/>
      <c r="U63" s="125"/>
    </row>
    <row r="64" ht="18" customHeight="1" spans="1:21">
      <c r="A64" s="104"/>
      <c r="B64" s="105"/>
      <c r="C64" s="105"/>
      <c r="D64" s="105"/>
      <c r="E64" s="105"/>
      <c r="F64" s="106"/>
      <c r="G64" s="107"/>
      <c r="H64" s="109"/>
      <c r="I64" s="109"/>
      <c r="J64" s="115"/>
      <c r="K64" s="115"/>
      <c r="L64" s="109"/>
      <c r="M64" s="116"/>
      <c r="N64" s="117"/>
      <c r="O64" s="118"/>
      <c r="P64" s="119"/>
      <c r="Q64" s="124"/>
      <c r="R64" s="124"/>
      <c r="S64" s="124"/>
      <c r="T64" s="124"/>
      <c r="U64" s="125"/>
    </row>
    <row r="65" ht="18" customHeight="1" spans="1:21">
      <c r="A65" s="104"/>
      <c r="B65" s="105"/>
      <c r="C65" s="105"/>
      <c r="D65" s="105"/>
      <c r="E65" s="105"/>
      <c r="F65" s="106"/>
      <c r="G65" s="107"/>
      <c r="H65" s="109"/>
      <c r="I65" s="109"/>
      <c r="J65" s="115"/>
      <c r="K65" s="115"/>
      <c r="L65" s="109"/>
      <c r="M65" s="116"/>
      <c r="N65" s="117"/>
      <c r="O65" s="118"/>
      <c r="P65" s="119"/>
      <c r="Q65" s="124"/>
      <c r="R65" s="124"/>
      <c r="S65" s="124"/>
      <c r="T65" s="124"/>
      <c r="U65" s="125"/>
    </row>
    <row r="66" ht="18" customHeight="1" spans="1:21">
      <c r="A66" s="104"/>
      <c r="B66" s="105"/>
      <c r="C66" s="105"/>
      <c r="D66" s="105"/>
      <c r="E66" s="105"/>
      <c r="F66" s="106"/>
      <c r="G66" s="107"/>
      <c r="H66" s="109"/>
      <c r="I66" s="109"/>
      <c r="J66" s="115"/>
      <c r="K66" s="115"/>
      <c r="L66" s="109"/>
      <c r="M66" s="116"/>
      <c r="N66" s="117"/>
      <c r="O66" s="118"/>
      <c r="P66" s="119"/>
      <c r="Q66" s="124"/>
      <c r="R66" s="124"/>
      <c r="S66" s="124"/>
      <c r="T66" s="124"/>
      <c r="U66" s="125"/>
    </row>
    <row r="67" ht="18" customHeight="1" spans="1:21">
      <c r="A67" s="104"/>
      <c r="B67" s="105"/>
      <c r="C67" s="105"/>
      <c r="D67" s="105"/>
      <c r="E67" s="105"/>
      <c r="F67" s="106"/>
      <c r="G67" s="107"/>
      <c r="H67" s="109"/>
      <c r="I67" s="109"/>
      <c r="J67" s="115"/>
      <c r="K67" s="115"/>
      <c r="L67" s="109"/>
      <c r="M67" s="116"/>
      <c r="N67" s="117"/>
      <c r="O67" s="118"/>
      <c r="P67" s="119"/>
      <c r="Q67" s="124"/>
      <c r="R67" s="124"/>
      <c r="S67" s="124"/>
      <c r="T67" s="124"/>
      <c r="U67" s="125"/>
    </row>
    <row r="68" ht="18" customHeight="1" spans="1:21">
      <c r="A68" s="104"/>
      <c r="B68" s="105"/>
      <c r="C68" s="105"/>
      <c r="D68" s="105"/>
      <c r="E68" s="105"/>
      <c r="F68" s="106"/>
      <c r="G68" s="107"/>
      <c r="H68" s="109"/>
      <c r="I68" s="109"/>
      <c r="J68" s="115"/>
      <c r="K68" s="115"/>
      <c r="L68" s="109"/>
      <c r="M68" s="116"/>
      <c r="N68" s="117"/>
      <c r="O68" s="118"/>
      <c r="P68" s="119"/>
      <c r="Q68" s="124"/>
      <c r="R68" s="124"/>
      <c r="S68" s="124"/>
      <c r="T68" s="124"/>
      <c r="U68" s="125"/>
    </row>
    <row r="69" ht="18" customHeight="1" spans="1:21">
      <c r="A69" s="104"/>
      <c r="B69" s="105"/>
      <c r="C69" s="105"/>
      <c r="D69" s="105"/>
      <c r="E69" s="105"/>
      <c r="F69" s="106"/>
      <c r="G69" s="107"/>
      <c r="H69" s="109"/>
      <c r="I69" s="109"/>
      <c r="J69" s="115"/>
      <c r="K69" s="115"/>
      <c r="L69" s="109"/>
      <c r="M69" s="116"/>
      <c r="N69" s="117"/>
      <c r="O69" s="118"/>
      <c r="P69" s="119"/>
      <c r="Q69" s="124"/>
      <c r="R69" s="124"/>
      <c r="S69" s="124"/>
      <c r="T69" s="124"/>
      <c r="U69" s="125"/>
    </row>
    <row r="70" ht="18" customHeight="1" spans="1:21">
      <c r="A70" s="104"/>
      <c r="B70" s="105"/>
      <c r="C70" s="105"/>
      <c r="D70" s="105"/>
      <c r="E70" s="105"/>
      <c r="F70" s="106"/>
      <c r="G70" s="107"/>
      <c r="H70" s="109"/>
      <c r="I70" s="109"/>
      <c r="J70" s="115"/>
      <c r="K70" s="115"/>
      <c r="L70" s="109"/>
      <c r="M70" s="116"/>
      <c r="N70" s="117"/>
      <c r="O70" s="118"/>
      <c r="P70" s="119"/>
      <c r="Q70" s="124"/>
      <c r="R70" s="124"/>
      <c r="S70" s="124"/>
      <c r="T70" s="124"/>
      <c r="U70" s="125"/>
    </row>
    <row r="71" ht="18" customHeight="1" spans="1:21">
      <c r="A71" s="104"/>
      <c r="B71" s="105"/>
      <c r="C71" s="105"/>
      <c r="D71" s="105"/>
      <c r="E71" s="105"/>
      <c r="F71" s="106"/>
      <c r="G71" s="107"/>
      <c r="H71" s="109"/>
      <c r="I71" s="109"/>
      <c r="J71" s="115"/>
      <c r="K71" s="115"/>
      <c r="L71" s="109"/>
      <c r="M71" s="116"/>
      <c r="N71" s="117"/>
      <c r="O71" s="118"/>
      <c r="P71" s="119"/>
      <c r="Q71" s="124"/>
      <c r="R71" s="124"/>
      <c r="S71" s="124"/>
      <c r="T71" s="124"/>
      <c r="U71" s="125"/>
    </row>
    <row r="72" ht="18" customHeight="1" spans="1:21">
      <c r="A72" s="104"/>
      <c r="B72" s="105"/>
      <c r="C72" s="105"/>
      <c r="D72" s="105"/>
      <c r="E72" s="105"/>
      <c r="F72" s="106"/>
      <c r="G72" s="107"/>
      <c r="H72" s="109"/>
      <c r="I72" s="109"/>
      <c r="J72" s="115"/>
      <c r="K72" s="115"/>
      <c r="L72" s="109"/>
      <c r="M72" s="116"/>
      <c r="N72" s="117"/>
      <c r="O72" s="118"/>
      <c r="P72" s="119"/>
      <c r="Q72" s="124"/>
      <c r="R72" s="124"/>
      <c r="S72" s="124"/>
      <c r="T72" s="124"/>
      <c r="U72" s="125"/>
    </row>
    <row r="73" ht="18" customHeight="1" spans="1:21">
      <c r="A73" s="104"/>
      <c r="B73" s="105"/>
      <c r="C73" s="105"/>
      <c r="D73" s="105"/>
      <c r="E73" s="105"/>
      <c r="F73" s="106"/>
      <c r="G73" s="107"/>
      <c r="H73" s="109"/>
      <c r="I73" s="109"/>
      <c r="J73" s="115"/>
      <c r="K73" s="115"/>
      <c r="L73" s="109"/>
      <c r="M73" s="116"/>
      <c r="N73" s="117"/>
      <c r="O73" s="118"/>
      <c r="P73" s="119"/>
      <c r="Q73" s="124"/>
      <c r="R73" s="124"/>
      <c r="S73" s="124"/>
      <c r="T73" s="124"/>
      <c r="U73" s="125"/>
    </row>
    <row r="74" ht="18" customHeight="1" spans="1:21">
      <c r="A74" s="104"/>
      <c r="B74" s="105"/>
      <c r="C74" s="105"/>
      <c r="D74" s="105"/>
      <c r="E74" s="105"/>
      <c r="F74" s="106"/>
      <c r="G74" s="107"/>
      <c r="H74" s="109"/>
      <c r="I74" s="109"/>
      <c r="J74" s="115"/>
      <c r="K74" s="115"/>
      <c r="L74" s="109"/>
      <c r="M74" s="116"/>
      <c r="N74" s="117"/>
      <c r="O74" s="118"/>
      <c r="P74" s="119"/>
      <c r="Q74" s="124"/>
      <c r="R74" s="124"/>
      <c r="S74" s="124"/>
      <c r="T74" s="124"/>
      <c r="U74" s="125"/>
    </row>
    <row r="75" ht="18" customHeight="1" spans="1:21">
      <c r="A75" s="104"/>
      <c r="B75" s="105"/>
      <c r="C75" s="105"/>
      <c r="D75" s="105"/>
      <c r="E75" s="105"/>
      <c r="F75" s="106"/>
      <c r="G75" s="107"/>
      <c r="H75" s="109"/>
      <c r="I75" s="109"/>
      <c r="J75" s="115"/>
      <c r="K75" s="115"/>
      <c r="L75" s="109"/>
      <c r="M75" s="116"/>
      <c r="N75" s="117"/>
      <c r="O75" s="118"/>
      <c r="P75" s="119"/>
      <c r="Q75" s="124"/>
      <c r="R75" s="124"/>
      <c r="S75" s="124"/>
      <c r="T75" s="124"/>
      <c r="U75" s="125"/>
    </row>
    <row r="76" ht="18" customHeight="1" spans="1:21">
      <c r="A76" s="104"/>
      <c r="B76" s="105"/>
      <c r="C76" s="105"/>
      <c r="D76" s="105"/>
      <c r="E76" s="105"/>
      <c r="F76" s="106"/>
      <c r="G76" s="107"/>
      <c r="H76" s="109"/>
      <c r="I76" s="109"/>
      <c r="J76" s="115"/>
      <c r="K76" s="115"/>
      <c r="L76" s="109"/>
      <c r="M76" s="116"/>
      <c r="N76" s="117"/>
      <c r="O76" s="118"/>
      <c r="P76" s="119"/>
      <c r="Q76" s="124"/>
      <c r="R76" s="124"/>
      <c r="S76" s="124"/>
      <c r="T76" s="124"/>
      <c r="U76" s="125"/>
    </row>
    <row r="77" ht="18" customHeight="1" spans="1:21">
      <c r="A77" s="104"/>
      <c r="B77" s="105"/>
      <c r="C77" s="105"/>
      <c r="D77" s="105"/>
      <c r="E77" s="105"/>
      <c r="F77" s="106"/>
      <c r="G77" s="107"/>
      <c r="H77" s="109"/>
      <c r="I77" s="109"/>
      <c r="J77" s="115"/>
      <c r="K77" s="115"/>
      <c r="L77" s="109"/>
      <c r="M77" s="116"/>
      <c r="N77" s="117"/>
      <c r="O77" s="118"/>
      <c r="P77" s="119"/>
      <c r="Q77" s="124"/>
      <c r="R77" s="124"/>
      <c r="S77" s="124"/>
      <c r="T77" s="124"/>
      <c r="U77" s="125"/>
    </row>
  </sheetData>
  <mergeCells count="151">
    <mergeCell ref="A4:F4"/>
    <mergeCell ref="H4:U4"/>
    <mergeCell ref="A5:F5"/>
    <mergeCell ref="H5:U5"/>
    <mergeCell ref="A6:E6"/>
    <mergeCell ref="F6:H6"/>
    <mergeCell ref="I6:N6"/>
    <mergeCell ref="O6:P6"/>
    <mergeCell ref="A7:F7"/>
    <mergeCell ref="Q7:U7"/>
    <mergeCell ref="A8:F8"/>
    <mergeCell ref="Q8:T8"/>
    <mergeCell ref="A9:F9"/>
    <mergeCell ref="Q9:T9"/>
    <mergeCell ref="A10:F10"/>
    <mergeCell ref="Q10:T10"/>
    <mergeCell ref="A11:F11"/>
    <mergeCell ref="Q11:T11"/>
    <mergeCell ref="A12:F12"/>
    <mergeCell ref="Q12:T12"/>
    <mergeCell ref="A13:F13"/>
    <mergeCell ref="Q13:T13"/>
    <mergeCell ref="A14:F14"/>
    <mergeCell ref="Q14:T14"/>
    <mergeCell ref="A15:F15"/>
    <mergeCell ref="Q15:T15"/>
    <mergeCell ref="A16:F16"/>
    <mergeCell ref="Q16:T16"/>
    <mergeCell ref="A17:F17"/>
    <mergeCell ref="Q17:T17"/>
    <mergeCell ref="A18:F18"/>
    <mergeCell ref="Q18:T18"/>
    <mergeCell ref="A19:F19"/>
    <mergeCell ref="Q19:T19"/>
    <mergeCell ref="A20:F20"/>
    <mergeCell ref="Q20:T20"/>
    <mergeCell ref="A21:F21"/>
    <mergeCell ref="Q21:T21"/>
    <mergeCell ref="A22:F22"/>
    <mergeCell ref="Q22:T22"/>
    <mergeCell ref="A23:F23"/>
    <mergeCell ref="Q23:T23"/>
    <mergeCell ref="A24:F24"/>
    <mergeCell ref="Q24:T24"/>
    <mergeCell ref="A25:F25"/>
    <mergeCell ref="Q25:T25"/>
    <mergeCell ref="A26:F26"/>
    <mergeCell ref="Q26:T26"/>
    <mergeCell ref="A27:F27"/>
    <mergeCell ref="Q27:T27"/>
    <mergeCell ref="A28:F28"/>
    <mergeCell ref="Q28:T28"/>
    <mergeCell ref="A29:F29"/>
    <mergeCell ref="Q29:T29"/>
    <mergeCell ref="A30:F30"/>
    <mergeCell ref="Q30:T30"/>
    <mergeCell ref="A31:F31"/>
    <mergeCell ref="Q31:T31"/>
    <mergeCell ref="A32:F32"/>
    <mergeCell ref="Q32:T32"/>
    <mergeCell ref="A33:F33"/>
    <mergeCell ref="Q33:T33"/>
    <mergeCell ref="A34:F34"/>
    <mergeCell ref="Q34:T34"/>
    <mergeCell ref="A35:F35"/>
    <mergeCell ref="Q35:T35"/>
    <mergeCell ref="A36:F36"/>
    <mergeCell ref="Q36:T36"/>
    <mergeCell ref="A37:F37"/>
    <mergeCell ref="Q37:T37"/>
    <mergeCell ref="A38:F38"/>
    <mergeCell ref="Q38:T38"/>
    <mergeCell ref="A39:F39"/>
    <mergeCell ref="Q39:T39"/>
    <mergeCell ref="A40:F40"/>
    <mergeCell ref="Q40:T40"/>
    <mergeCell ref="A41:F41"/>
    <mergeCell ref="Q41:T41"/>
    <mergeCell ref="A42:F42"/>
    <mergeCell ref="Q42:T42"/>
    <mergeCell ref="A43:F43"/>
    <mergeCell ref="Q43:T43"/>
    <mergeCell ref="A44:F44"/>
    <mergeCell ref="Q44:T44"/>
    <mergeCell ref="A45:F45"/>
    <mergeCell ref="Q45:T45"/>
    <mergeCell ref="A46:F46"/>
    <mergeCell ref="Q46:T46"/>
    <mergeCell ref="A47:F47"/>
    <mergeCell ref="Q47:T47"/>
    <mergeCell ref="A48:F48"/>
    <mergeCell ref="Q48:T48"/>
    <mergeCell ref="A49:F49"/>
    <mergeCell ref="Q49:T49"/>
    <mergeCell ref="A50:F50"/>
    <mergeCell ref="Q50:T50"/>
    <mergeCell ref="A51:F51"/>
    <mergeCell ref="Q51:T51"/>
    <mergeCell ref="A52:F52"/>
    <mergeCell ref="Q52:T52"/>
    <mergeCell ref="A53:F53"/>
    <mergeCell ref="Q53:T53"/>
    <mergeCell ref="A54:F54"/>
    <mergeCell ref="Q54:T54"/>
    <mergeCell ref="A55:F55"/>
    <mergeCell ref="Q55:T55"/>
    <mergeCell ref="A56:F56"/>
    <mergeCell ref="Q56:T56"/>
    <mergeCell ref="A57:F57"/>
    <mergeCell ref="Q57:T57"/>
    <mergeCell ref="A58:F58"/>
    <mergeCell ref="Q58:T58"/>
    <mergeCell ref="A59:F59"/>
    <mergeCell ref="Q59:T59"/>
    <mergeCell ref="A60:F60"/>
    <mergeCell ref="Q60:T60"/>
    <mergeCell ref="A61:F61"/>
    <mergeCell ref="Q61:T61"/>
    <mergeCell ref="A62:F62"/>
    <mergeCell ref="Q62:T62"/>
    <mergeCell ref="A63:F63"/>
    <mergeCell ref="Q63:T63"/>
    <mergeCell ref="A64:F64"/>
    <mergeCell ref="Q64:T64"/>
    <mergeCell ref="A65:F65"/>
    <mergeCell ref="Q65:T65"/>
    <mergeCell ref="A66:F66"/>
    <mergeCell ref="Q66:T66"/>
    <mergeCell ref="A67:F67"/>
    <mergeCell ref="Q67:T67"/>
    <mergeCell ref="A68:F68"/>
    <mergeCell ref="Q68:T68"/>
    <mergeCell ref="A69:F69"/>
    <mergeCell ref="Q69:T69"/>
    <mergeCell ref="A70:F70"/>
    <mergeCell ref="Q70:T70"/>
    <mergeCell ref="A71:F71"/>
    <mergeCell ref="Q71:T71"/>
    <mergeCell ref="A72:F72"/>
    <mergeCell ref="Q72:T72"/>
    <mergeCell ref="A73:F73"/>
    <mergeCell ref="Q73:T73"/>
    <mergeCell ref="A74:F74"/>
    <mergeCell ref="Q74:T74"/>
    <mergeCell ref="A75:F75"/>
    <mergeCell ref="Q75:T75"/>
    <mergeCell ref="A76:F76"/>
    <mergeCell ref="Q76:T76"/>
    <mergeCell ref="A77:F77"/>
    <mergeCell ref="Q77:T77"/>
    <mergeCell ref="A1:P3"/>
  </mergeCells>
  <conditionalFormatting sqref="I9">
    <cfRule type="cellIs" dxfId="0" priority="7" stopIfTrue="1" operator="equal">
      <formula>"I"</formula>
    </cfRule>
    <cfRule type="cellIs" dxfId="1" priority="8" stopIfTrue="1" operator="equal">
      <formula>"A"</formula>
    </cfRule>
    <cfRule type="cellIs" dxfId="2" priority="9" stopIfTrue="1" operator="equal">
      <formula>"E"</formula>
    </cfRule>
  </conditionalFormatting>
  <conditionalFormatting sqref="I10">
    <cfRule type="cellIs" dxfId="0" priority="10" stopIfTrue="1" operator="equal">
      <formula>"I"</formula>
    </cfRule>
    <cfRule type="cellIs" dxfId="1" priority="11" stopIfTrue="1" operator="equal">
      <formula>"A"</formula>
    </cfRule>
    <cfRule type="cellIs" dxfId="2" priority="12" stopIfTrue="1" operator="equal">
      <formula>"E"</formula>
    </cfRule>
  </conditionalFormatting>
  <conditionalFormatting sqref="I16">
    <cfRule type="cellIs" dxfId="2" priority="3" stopIfTrue="1" operator="equal">
      <formula>"E"</formula>
    </cfRule>
    <cfRule type="cellIs" dxfId="1" priority="2" stopIfTrue="1" operator="equal">
      <formula>"A"</formula>
    </cfRule>
    <cfRule type="cellIs" dxfId="0" priority="1" stopIfTrue="1" operator="equal">
      <formula>"I"</formula>
    </cfRule>
  </conditionalFormatting>
  <conditionalFormatting sqref="I43">
    <cfRule type="cellIs" dxfId="0" priority="85" stopIfTrue="1" operator="equal">
      <formula>"I"</formula>
    </cfRule>
    <cfRule type="cellIs" dxfId="1" priority="86" stopIfTrue="1" operator="equal">
      <formula>"A"</formula>
    </cfRule>
    <cfRule type="cellIs" dxfId="2" priority="87" stopIfTrue="1" operator="equal">
      <formula>"E"</formula>
    </cfRule>
  </conditionalFormatting>
  <conditionalFormatting sqref="I45">
    <cfRule type="cellIs" dxfId="0" priority="79" stopIfTrue="1" operator="equal">
      <formula>"I"</formula>
    </cfRule>
    <cfRule type="cellIs" dxfId="1" priority="80" stopIfTrue="1" operator="equal">
      <formula>"A"</formula>
    </cfRule>
    <cfRule type="cellIs" dxfId="2" priority="81" stopIfTrue="1" operator="equal">
      <formula>"E"</formula>
    </cfRule>
  </conditionalFormatting>
  <conditionalFormatting sqref="I49">
    <cfRule type="cellIs" dxfId="0" priority="73" stopIfTrue="1" operator="equal">
      <formula>"I"</formula>
    </cfRule>
    <cfRule type="cellIs" dxfId="1" priority="74" stopIfTrue="1" operator="equal">
      <formula>"A"</formula>
    </cfRule>
    <cfRule type="cellIs" dxfId="2" priority="75" stopIfTrue="1" operator="equal">
      <formula>"E"</formula>
    </cfRule>
  </conditionalFormatting>
  <conditionalFormatting sqref="I54">
    <cfRule type="cellIs" dxfId="0" priority="67" stopIfTrue="1" operator="equal">
      <formula>"I"</formula>
    </cfRule>
    <cfRule type="cellIs" dxfId="1" priority="68" stopIfTrue="1" operator="equal">
      <formula>"A"</formula>
    </cfRule>
    <cfRule type="cellIs" dxfId="2" priority="69" stopIfTrue="1" operator="equal">
      <formula>"E"</formula>
    </cfRule>
  </conditionalFormatting>
  <conditionalFormatting sqref="I74">
    <cfRule type="cellIs" dxfId="0" priority="208" stopIfTrue="1" operator="equal">
      <formula>"I"</formula>
    </cfRule>
    <cfRule type="cellIs" dxfId="1" priority="209" stopIfTrue="1" operator="equal">
      <formula>"A"</formula>
    </cfRule>
    <cfRule type="cellIs" dxfId="2" priority="210" stopIfTrue="1" operator="equal">
      <formula>"E"</formula>
    </cfRule>
  </conditionalFormatting>
  <conditionalFormatting sqref="I75">
    <cfRule type="cellIs" dxfId="0" priority="205" stopIfTrue="1" operator="equal">
      <formula>"I"</formula>
    </cfRule>
    <cfRule type="cellIs" dxfId="1" priority="206" stopIfTrue="1" operator="equal">
      <formula>"A"</formula>
    </cfRule>
    <cfRule type="cellIs" dxfId="2" priority="207" stopIfTrue="1" operator="equal">
      <formula>"E"</formula>
    </cfRule>
  </conditionalFormatting>
  <conditionalFormatting sqref="I17:I21">
    <cfRule type="cellIs" dxfId="2" priority="6" stopIfTrue="1" operator="equal">
      <formula>"E"</formula>
    </cfRule>
    <cfRule type="cellIs" dxfId="1" priority="5" stopIfTrue="1" operator="equal">
      <formula>"A"</formula>
    </cfRule>
    <cfRule type="cellIs" dxfId="0" priority="4" stopIfTrue="1" operator="equal">
      <formula>"I"</formula>
    </cfRule>
  </conditionalFormatting>
  <conditionalFormatting sqref="I28:I33">
    <cfRule type="cellIs" dxfId="0" priority="28" stopIfTrue="1" operator="equal">
      <formula>"I"</formula>
    </cfRule>
    <cfRule type="cellIs" dxfId="1" priority="29" stopIfTrue="1" operator="equal">
      <formula>"A"</formula>
    </cfRule>
    <cfRule type="cellIs" dxfId="2" priority="30" stopIfTrue="1" operator="equal">
      <formula>"E"</formula>
    </cfRule>
  </conditionalFormatting>
  <conditionalFormatting sqref="I34:I35">
    <cfRule type="cellIs" dxfId="0" priority="19" stopIfTrue="1" operator="equal">
      <formula>"I"</formula>
    </cfRule>
    <cfRule type="cellIs" dxfId="1" priority="20" stopIfTrue="1" operator="equal">
      <formula>"A"</formula>
    </cfRule>
    <cfRule type="cellIs" dxfId="2" priority="21" stopIfTrue="1" operator="equal">
      <formula>"E"</formula>
    </cfRule>
  </conditionalFormatting>
  <conditionalFormatting sqref="I36:I42">
    <cfRule type="cellIs" dxfId="0" priority="16" stopIfTrue="1" operator="equal">
      <formula>"I"</formula>
    </cfRule>
    <cfRule type="cellIs" dxfId="1" priority="17" stopIfTrue="1" operator="equal">
      <formula>"A"</formula>
    </cfRule>
    <cfRule type="cellIs" dxfId="2" priority="18" stopIfTrue="1" operator="equal">
      <formula>"E"</formula>
    </cfRule>
  </conditionalFormatting>
  <conditionalFormatting sqref="I46:I47">
    <cfRule type="cellIs" dxfId="0" priority="76" stopIfTrue="1" operator="equal">
      <formula>"I"</formula>
    </cfRule>
    <cfRule type="cellIs" dxfId="1" priority="77" stopIfTrue="1" operator="equal">
      <formula>"A"</formula>
    </cfRule>
    <cfRule type="cellIs" dxfId="2" priority="78" stopIfTrue="1" operator="equal">
      <formula>"E"</formula>
    </cfRule>
  </conditionalFormatting>
  <conditionalFormatting sqref="I50:I52">
    <cfRule type="cellIs" dxfId="0" priority="70" stopIfTrue="1" operator="equal">
      <formula>"I"</formula>
    </cfRule>
    <cfRule type="cellIs" dxfId="1" priority="71" stopIfTrue="1" operator="equal">
      <formula>"A"</formula>
    </cfRule>
    <cfRule type="cellIs" dxfId="2" priority="72" stopIfTrue="1" operator="equal">
      <formula>"E"</formula>
    </cfRule>
  </conditionalFormatting>
  <conditionalFormatting sqref="I55:I57">
    <cfRule type="cellIs" dxfId="0" priority="64" stopIfTrue="1" operator="equal">
      <formula>"I"</formula>
    </cfRule>
    <cfRule type="cellIs" dxfId="1" priority="65" stopIfTrue="1" operator="equal">
      <formula>"A"</formula>
    </cfRule>
    <cfRule type="cellIs" dxfId="2" priority="66" stopIfTrue="1" operator="equal">
      <formula>"E"</formula>
    </cfRule>
  </conditionalFormatting>
  <conditionalFormatting sqref="I60:I63">
    <cfRule type="cellIs" dxfId="0" priority="61" stopIfTrue="1" operator="equal">
      <formula>"I"</formula>
    </cfRule>
    <cfRule type="cellIs" dxfId="1" priority="62" stopIfTrue="1" operator="equal">
      <formula>"A"</formula>
    </cfRule>
    <cfRule type="cellIs" dxfId="2" priority="63" stopIfTrue="1" operator="equal">
      <formula>"E"</formula>
    </cfRule>
  </conditionalFormatting>
  <conditionalFormatting sqref="I70:I73">
    <cfRule type="cellIs" dxfId="0" priority="211" stopIfTrue="1" operator="equal">
      <formula>"I"</formula>
    </cfRule>
    <cfRule type="cellIs" dxfId="1" priority="212" stopIfTrue="1" operator="equal">
      <formula>"A"</formula>
    </cfRule>
    <cfRule type="cellIs" dxfId="2" priority="213" stopIfTrue="1" operator="equal">
      <formula>"E"</formula>
    </cfRule>
  </conditionalFormatting>
  <conditionalFormatting sqref="I8;I11:I15">
    <cfRule type="cellIs" dxfId="0" priority="13" stopIfTrue="1" operator="equal">
      <formula>"I"</formula>
    </cfRule>
    <cfRule type="cellIs" dxfId="1" priority="14" stopIfTrue="1" operator="equal">
      <formula>"A"</formula>
    </cfRule>
    <cfRule type="cellIs" dxfId="2" priority="15" stopIfTrue="1" operator="equal">
      <formula>"E"</formula>
    </cfRule>
  </conditionalFormatting>
  <conditionalFormatting sqref="I76:I77;I53;I58:I59;I64:I69;I22:I27">
    <cfRule type="cellIs" dxfId="0" priority="253" stopIfTrue="1" operator="equal">
      <formula>"I"</formula>
    </cfRule>
    <cfRule type="cellIs" dxfId="1" priority="254" stopIfTrue="1" operator="equal">
      <formula>"A"</formula>
    </cfRule>
    <cfRule type="cellIs" dxfId="2" priority="255" stopIfTrue="1" operator="equal">
      <formula>"E"</formula>
    </cfRule>
  </conditionalFormatting>
  <conditionalFormatting sqref="I44;I48">
    <cfRule type="cellIs" dxfId="0" priority="121" stopIfTrue="1" operator="equal">
      <formula>"I"</formula>
    </cfRule>
    <cfRule type="cellIs" dxfId="1" priority="122" stopIfTrue="1" operator="equal">
      <formula>"A"</formula>
    </cfRule>
    <cfRule type="cellIs" dxfId="2" priority="123" stopIfTrue="1" operator="equal">
      <formula>"E"</formula>
    </cfRule>
  </conditionalFormatting>
  <dataValidations count="2">
    <dataValidation allowBlank="1" showInputMessage="1" showErrorMessage="1" promptTitle="Tipo da Manutenção na Função" prompt="I - Inclusão  &#10;A - Alteração  &#10;E - Exclusão  &#10;T - Teste" sqref="I22;I8:I15;I16:I21;I23:I27;I28:I33;I34:I77"/>
    <dataValidation allowBlank="1" showInputMessage="1" showErrorMessage="1" promptTitle="Tipo da Função" prompt="ALI, AIE, EE, SE, CE" sqref="H8:H15;H16:H21;H22:H28;H29:H33;H34:H77"/>
  </dataValidations>
  <printOptions headings="1"/>
  <pageMargins left="0.39375" right="0.315277777777778" top="0.236111111111111" bottom="0.39375" header="0.511805555555556" footer="0.236111111111111"/>
  <pageSetup paperSize="9" scale="73" firstPageNumber="0" orientation="landscape" useFirstPageNumber="1" horizontalDpi="300" verticalDpi="300"/>
  <headerFooter alignWithMargins="0">
    <oddHeader>&amp;C&amp;"Arial"&amp;8&amp;K000000INTERNAL&amp;1#</oddHeader>
    <oddFooter>&amp;L&amp;P/&amp;N&amp;C&amp;D&amp;R  &amp;F - &amp;A         .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Plan3"/>
  <dimension ref="A1:O61"/>
  <sheetViews>
    <sheetView showGridLines="0" workbookViewId="0">
      <selection activeCell="B55" sqref="B55:D55"/>
    </sheetView>
  </sheetViews>
  <sheetFormatPr defaultColWidth="9" defaultRowHeight="12.75"/>
  <cols>
    <col min="1" max="1" width="2.85714285714286" style="34" customWidth="1"/>
    <col min="2" max="2" width="8.28571428571429" style="34" customWidth="1"/>
    <col min="3" max="3" width="10.7142857142857" style="34" customWidth="1"/>
    <col min="4" max="4" width="2.28571428571429" style="34" customWidth="1"/>
    <col min="5" max="5" width="21.7142857142857" style="34" customWidth="1"/>
    <col min="6" max="6" width="5" style="34" customWidth="1"/>
    <col min="7" max="7" width="10.7142857142857" style="34" customWidth="1"/>
    <col min="8" max="8" width="4.71428571428571" style="34" customWidth="1"/>
    <col min="9" max="9" width="6.71428571428571" style="34" customWidth="1"/>
    <col min="10" max="10" width="4.71428571428571" style="34" customWidth="1"/>
    <col min="11" max="11" width="9.85714285714286" style="34" customWidth="1"/>
    <col min="12" max="12" width="7.28571428571429" style="34" customWidth="1"/>
    <col min="13" max="16384" width="9.14285714285714" style="34"/>
  </cols>
  <sheetData>
    <row r="1" ht="12" customHeight="1" spans="1:12">
      <c r="A1" s="35" t="s">
        <v>85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ht="12" customHeight="1" spans="1:12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ht="12" customHeight="1" spans="1:1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ht="12" customHeight="1" spans="1:12">
      <c r="A4" s="36" t="str">
        <f>Contagem!A5&amp;" : "&amp;Contagem!F5</f>
        <v>Aplicação : FINPES - SISTEMA PARA CONTROLE FINANCEIRO</v>
      </c>
      <c r="B4" s="36"/>
      <c r="C4" s="36"/>
      <c r="D4" s="36"/>
      <c r="E4" s="36"/>
      <c r="F4" s="37" t="str">
        <f>Contagem!A6&amp;" : "&amp;Contagem!F6</f>
        <v>Projeto : GESTÃO DE PROCESSOS - UEG</v>
      </c>
      <c r="G4" s="37"/>
      <c r="H4" s="37"/>
      <c r="I4" s="37"/>
      <c r="J4" s="37"/>
      <c r="K4" s="37"/>
      <c r="L4" s="37"/>
    </row>
    <row r="5" ht="12" customHeight="1" spans="1:12">
      <c r="A5" s="38" t="str">
        <f>Contagem!A7&amp;" : "&amp;Contagem!F7</f>
        <v>Responsável : LUCAS MORAES</v>
      </c>
      <c r="B5" s="38"/>
      <c r="C5" s="38"/>
      <c r="D5" s="38"/>
      <c r="E5" s="38"/>
      <c r="F5" s="37" t="str">
        <f>Contagem!A8&amp;" : "&amp;Contagem!F8</f>
        <v>Revisor : </v>
      </c>
      <c r="G5" s="37"/>
      <c r="H5" s="37"/>
      <c r="I5" s="37"/>
      <c r="J5" s="37"/>
      <c r="K5" s="37"/>
      <c r="L5" s="37"/>
    </row>
    <row r="6" ht="12" customHeight="1" spans="1:12">
      <c r="A6" s="39" t="str">
        <f>Contagem!A4&amp;" : "&amp;Contagem!F4</f>
        <v>Empresa : SISTEMAS DE INFORMAÇÃO</v>
      </c>
      <c r="B6" s="40"/>
      <c r="C6" s="40"/>
      <c r="D6" s="41"/>
      <c r="E6" s="41"/>
      <c r="F6" s="42" t="str">
        <f>Contagem!R4&amp;" = "&amp;VALUE(Contagem!T4)</f>
        <v>R$/PF = 1000</v>
      </c>
      <c r="G6" s="42"/>
      <c r="H6" s="42" t="str">
        <f>" Custo= "&amp;DOLLAR(Contagem!W4)</f>
        <v> Custo= R$124.000</v>
      </c>
      <c r="I6" s="42"/>
      <c r="J6" s="42"/>
      <c r="K6" s="73" t="str">
        <f>"PF  = "&amp;VALUE(Contagem!W5)</f>
        <v>PF  = 124</v>
      </c>
      <c r="L6" s="73"/>
    </row>
    <row r="7" ht="12" customHeight="1" spans="1:12">
      <c r="A7" s="43" t="s">
        <v>86</v>
      </c>
      <c r="B7" s="43"/>
      <c r="C7" s="44" t="s">
        <v>87</v>
      </c>
      <c r="D7" s="44"/>
      <c r="E7" s="44"/>
      <c r="F7" s="44"/>
      <c r="G7" s="45" t="s">
        <v>88</v>
      </c>
      <c r="H7" s="45"/>
      <c r="I7" s="74" t="s">
        <v>89</v>
      </c>
      <c r="J7" s="74"/>
      <c r="K7" s="74"/>
      <c r="L7" s="74"/>
    </row>
    <row r="8" ht="12" customHeight="1" spans="1:12">
      <c r="A8" s="43"/>
      <c r="B8" s="43"/>
      <c r="C8" s="44"/>
      <c r="D8" s="44"/>
      <c r="E8" s="44"/>
      <c r="F8" s="44"/>
      <c r="G8" s="45"/>
      <c r="H8" s="45"/>
      <c r="I8" s="45"/>
      <c r="J8" s="74"/>
      <c r="K8" s="74"/>
      <c r="L8" s="74"/>
    </row>
    <row r="9" ht="12" customHeight="1" spans="1:12">
      <c r="A9" s="46"/>
      <c r="B9" s="47"/>
      <c r="C9" s="48"/>
      <c r="D9" s="48"/>
      <c r="E9" s="48"/>
      <c r="F9" s="48"/>
      <c r="G9" s="48"/>
      <c r="H9" s="48"/>
      <c r="I9" s="48"/>
      <c r="J9" s="48"/>
      <c r="K9" s="48"/>
      <c r="L9" s="75"/>
    </row>
    <row r="10" ht="12" customHeight="1" spans="1:12">
      <c r="A10" s="49"/>
      <c r="B10" s="50" t="s">
        <v>53</v>
      </c>
      <c r="C10" s="51">
        <f>COUNTIF(CF,"EEL")</f>
        <v>7</v>
      </c>
      <c r="D10" s="52"/>
      <c r="E10" s="53" t="s">
        <v>90</v>
      </c>
      <c r="F10" s="53" t="s">
        <v>91</v>
      </c>
      <c r="G10" s="51">
        <f>C10*3</f>
        <v>21</v>
      </c>
      <c r="H10" s="52"/>
      <c r="I10" s="76"/>
      <c r="J10" s="52"/>
      <c r="K10" s="52"/>
      <c r="L10" s="77"/>
    </row>
    <row r="11" ht="12" customHeight="1" spans="1:12">
      <c r="A11" s="49"/>
      <c r="B11" s="50"/>
      <c r="C11" s="51">
        <f>COUNTIF(CF,"EEA")</f>
        <v>2</v>
      </c>
      <c r="D11" s="52"/>
      <c r="E11" s="53" t="s">
        <v>92</v>
      </c>
      <c r="F11" s="53" t="s">
        <v>93</v>
      </c>
      <c r="G11" s="51">
        <f>C11*4</f>
        <v>8</v>
      </c>
      <c r="H11" s="52"/>
      <c r="I11" s="76"/>
      <c r="J11" s="52"/>
      <c r="K11" s="52"/>
      <c r="L11" s="77"/>
    </row>
    <row r="12" ht="12" customHeight="1" spans="1:12">
      <c r="A12" s="49"/>
      <c r="B12" s="50"/>
      <c r="C12" s="51">
        <f>COUNTIF(CF,"EEH")</f>
        <v>4</v>
      </c>
      <c r="D12" s="52"/>
      <c r="E12" s="53" t="s">
        <v>94</v>
      </c>
      <c r="F12" s="53" t="s">
        <v>95</v>
      </c>
      <c r="G12" s="51">
        <f>C12*6</f>
        <v>24</v>
      </c>
      <c r="H12" s="52"/>
      <c r="I12" s="76"/>
      <c r="J12" s="52"/>
      <c r="L12" s="78"/>
    </row>
    <row r="13" ht="6.75" customHeight="1" spans="1:12">
      <c r="A13" s="49"/>
      <c r="B13" s="50"/>
      <c r="C13" s="48"/>
      <c r="D13" s="52"/>
      <c r="E13" s="52"/>
      <c r="F13" s="52"/>
      <c r="G13" s="48"/>
      <c r="H13" s="52"/>
      <c r="I13" s="52"/>
      <c r="J13" s="52"/>
      <c r="K13" s="52"/>
      <c r="L13" s="77"/>
    </row>
    <row r="14" ht="12" customHeight="1" spans="1:15">
      <c r="A14" s="49"/>
      <c r="B14" s="54" t="s">
        <v>96</v>
      </c>
      <c r="C14" s="51">
        <f>SUM(C10:C12)</f>
        <v>13</v>
      </c>
      <c r="D14" s="52"/>
      <c r="E14" s="52"/>
      <c r="F14" s="54" t="s">
        <v>96</v>
      </c>
      <c r="G14" s="51">
        <f>SUM(G10:G12)</f>
        <v>53</v>
      </c>
      <c r="H14" s="52"/>
      <c r="I14" s="79">
        <f>IF($G$45&lt;&gt;0,G14/$G$45,"")</f>
        <v>0.42741935483871</v>
      </c>
      <c r="J14" s="52"/>
      <c r="K14" s="52"/>
      <c r="L14" s="77"/>
      <c r="O14" s="80"/>
    </row>
    <row r="15" ht="6" customHeight="1" spans="1:12">
      <c r="A15" s="55"/>
      <c r="B15" s="56"/>
      <c r="C15" s="51"/>
      <c r="D15" s="51"/>
      <c r="E15" s="51"/>
      <c r="F15" s="51"/>
      <c r="G15" s="51"/>
      <c r="H15" s="51"/>
      <c r="I15" s="51"/>
      <c r="J15" s="51"/>
      <c r="K15" s="51"/>
      <c r="L15" s="81"/>
    </row>
    <row r="16" ht="12" customHeight="1" spans="1:12">
      <c r="A16" s="49"/>
      <c r="B16" s="50"/>
      <c r="C16" s="52"/>
      <c r="D16" s="52"/>
      <c r="E16" s="52"/>
      <c r="F16" s="52"/>
      <c r="G16" s="52"/>
      <c r="H16" s="52"/>
      <c r="I16" s="52"/>
      <c r="J16" s="52"/>
      <c r="K16" s="52"/>
      <c r="L16" s="77"/>
    </row>
    <row r="17" ht="12" customHeight="1" spans="1:12">
      <c r="A17" s="49"/>
      <c r="B17" s="50" t="s">
        <v>49</v>
      </c>
      <c r="C17" s="51">
        <f>COUNTIF(CF,"SEL")</f>
        <v>2</v>
      </c>
      <c r="D17" s="52"/>
      <c r="E17" s="53" t="s">
        <v>90</v>
      </c>
      <c r="F17" s="53" t="s">
        <v>93</v>
      </c>
      <c r="G17" s="51">
        <f>C17*4</f>
        <v>8</v>
      </c>
      <c r="H17" s="52"/>
      <c r="I17" s="52"/>
      <c r="J17" s="52"/>
      <c r="K17" s="52"/>
      <c r="L17" s="77"/>
    </row>
    <row r="18" ht="12" customHeight="1" spans="1:12">
      <c r="A18" s="49"/>
      <c r="B18" s="50"/>
      <c r="C18" s="51">
        <f>COUNTIF(CF,"SEA")</f>
        <v>0</v>
      </c>
      <c r="D18" s="52"/>
      <c r="E18" s="53" t="s">
        <v>92</v>
      </c>
      <c r="F18" s="53" t="s">
        <v>97</v>
      </c>
      <c r="G18" s="51">
        <f>C18*5</f>
        <v>0</v>
      </c>
      <c r="H18" s="52"/>
      <c r="I18" s="52"/>
      <c r="J18" s="52"/>
      <c r="K18" s="52"/>
      <c r="L18" s="77"/>
    </row>
    <row r="19" ht="12" customHeight="1" spans="1:12">
      <c r="A19" s="49"/>
      <c r="B19" s="50"/>
      <c r="C19" s="51">
        <f>COUNTIF(CF,"SEH")</f>
        <v>0</v>
      </c>
      <c r="D19" s="52"/>
      <c r="E19" s="53" t="s">
        <v>94</v>
      </c>
      <c r="F19" s="53" t="s">
        <v>98</v>
      </c>
      <c r="G19" s="51">
        <f>C19*7</f>
        <v>0</v>
      </c>
      <c r="H19" s="52"/>
      <c r="I19" s="52"/>
      <c r="J19" s="52"/>
      <c r="K19" s="52"/>
      <c r="L19" s="78"/>
    </row>
    <row r="20" ht="6.75" customHeight="1" spans="1:12">
      <c r="A20" s="49"/>
      <c r="B20" s="50"/>
      <c r="C20" s="48"/>
      <c r="D20" s="52"/>
      <c r="E20" s="52"/>
      <c r="F20" s="52"/>
      <c r="G20" s="48"/>
      <c r="H20" s="52"/>
      <c r="I20" s="52"/>
      <c r="J20" s="52"/>
      <c r="K20" s="52"/>
      <c r="L20" s="77"/>
    </row>
    <row r="21" ht="12" customHeight="1" spans="1:12">
      <c r="A21" s="49"/>
      <c r="B21" s="54" t="s">
        <v>96</v>
      </c>
      <c r="C21" s="51">
        <f>SUM(C17:C19)</f>
        <v>2</v>
      </c>
      <c r="D21" s="52"/>
      <c r="E21" s="52"/>
      <c r="F21" s="54" t="s">
        <v>96</v>
      </c>
      <c r="G21" s="51">
        <f>SUM(G17:G19)</f>
        <v>8</v>
      </c>
      <c r="H21" s="52"/>
      <c r="I21" s="82">
        <f>IF($G$45&lt;&gt;0,G21/$G$45,"")</f>
        <v>0.0645161290322581</v>
      </c>
      <c r="J21" s="52"/>
      <c r="K21" s="52"/>
      <c r="L21" s="77"/>
    </row>
    <row r="22" ht="6" customHeight="1" spans="1:12">
      <c r="A22" s="55"/>
      <c r="B22" s="56"/>
      <c r="C22" s="51"/>
      <c r="D22" s="51"/>
      <c r="E22" s="51"/>
      <c r="F22" s="51"/>
      <c r="G22" s="51"/>
      <c r="H22" s="51"/>
      <c r="I22" s="51"/>
      <c r="J22" s="51"/>
      <c r="K22" s="51"/>
      <c r="L22" s="81"/>
    </row>
    <row r="23" ht="12" customHeight="1" spans="1:12">
      <c r="A23" s="46"/>
      <c r="B23" s="47"/>
      <c r="C23" s="52"/>
      <c r="D23" s="48"/>
      <c r="E23" s="48"/>
      <c r="F23" s="48"/>
      <c r="G23" s="52"/>
      <c r="H23" s="48"/>
      <c r="I23" s="48"/>
      <c r="J23" s="48"/>
      <c r="K23" s="48"/>
      <c r="L23" s="75"/>
    </row>
    <row r="24" ht="12" customHeight="1" spans="1:12">
      <c r="A24" s="49"/>
      <c r="B24" s="50" t="s">
        <v>55</v>
      </c>
      <c r="C24" s="51">
        <f>COUNTIF(CF,"CEL")</f>
        <v>4</v>
      </c>
      <c r="D24" s="52"/>
      <c r="E24" s="53" t="s">
        <v>90</v>
      </c>
      <c r="F24" s="53" t="s">
        <v>91</v>
      </c>
      <c r="G24" s="51">
        <f>C24*3</f>
        <v>12</v>
      </c>
      <c r="H24" s="52"/>
      <c r="I24" s="52"/>
      <c r="J24" s="52"/>
      <c r="K24" s="52"/>
      <c r="L24" s="77"/>
    </row>
    <row r="25" ht="12" customHeight="1" spans="1:12">
      <c r="A25" s="49"/>
      <c r="B25" s="50"/>
      <c r="C25" s="51">
        <f>COUNTIF(CF,"CEA")</f>
        <v>4</v>
      </c>
      <c r="D25" s="52"/>
      <c r="E25" s="53" t="s">
        <v>92</v>
      </c>
      <c r="F25" s="53" t="s">
        <v>93</v>
      </c>
      <c r="G25" s="51">
        <f>C25*4</f>
        <v>16</v>
      </c>
      <c r="H25" s="52"/>
      <c r="I25" s="52"/>
      <c r="J25" s="52"/>
      <c r="K25" s="52"/>
      <c r="L25" s="77"/>
    </row>
    <row r="26" ht="12" customHeight="1" spans="1:12">
      <c r="A26" s="49"/>
      <c r="B26" s="50"/>
      <c r="C26" s="51">
        <f>COUNTIF(CF,"CEH")</f>
        <v>0</v>
      </c>
      <c r="D26" s="52"/>
      <c r="E26" s="53" t="s">
        <v>94</v>
      </c>
      <c r="F26" s="53" t="s">
        <v>95</v>
      </c>
      <c r="G26" s="51">
        <f>C26*6</f>
        <v>0</v>
      </c>
      <c r="H26" s="52"/>
      <c r="I26" s="52"/>
      <c r="J26" s="52"/>
      <c r="K26" s="52"/>
      <c r="L26" s="78"/>
    </row>
    <row r="27" ht="6.75" customHeight="1" spans="1:12">
      <c r="A27" s="49"/>
      <c r="B27" s="50"/>
      <c r="C27" s="48"/>
      <c r="D27" s="52"/>
      <c r="E27" s="52"/>
      <c r="F27" s="52"/>
      <c r="G27" s="48"/>
      <c r="H27" s="52"/>
      <c r="I27" s="52"/>
      <c r="J27" s="52"/>
      <c r="K27" s="52"/>
      <c r="L27" s="77"/>
    </row>
    <row r="28" ht="12" customHeight="1" spans="1:12">
      <c r="A28" s="49"/>
      <c r="B28" s="54" t="s">
        <v>96</v>
      </c>
      <c r="C28" s="51">
        <f>SUM(C24:C26)</f>
        <v>8</v>
      </c>
      <c r="D28" s="52"/>
      <c r="E28" s="52"/>
      <c r="F28" s="54" t="s">
        <v>96</v>
      </c>
      <c r="G28" s="51">
        <f>SUM(G24:G26)</f>
        <v>28</v>
      </c>
      <c r="H28" s="52"/>
      <c r="I28" s="83">
        <f>IF($G$45&lt;&gt;0,G28/$G$45,"")</f>
        <v>0.225806451612903</v>
      </c>
      <c r="J28" s="52"/>
      <c r="K28" s="52"/>
      <c r="L28" s="77"/>
    </row>
    <row r="29" ht="6" customHeight="1" spans="1:12">
      <c r="A29" s="55"/>
      <c r="B29" s="56"/>
      <c r="C29" s="51"/>
      <c r="D29" s="51"/>
      <c r="E29" s="51"/>
      <c r="F29" s="51"/>
      <c r="G29" s="51"/>
      <c r="H29" s="51"/>
      <c r="I29" s="51"/>
      <c r="J29" s="51"/>
      <c r="K29" s="51"/>
      <c r="L29" s="81"/>
    </row>
    <row r="30" ht="12" customHeight="1" spans="1:12">
      <c r="A30" s="46"/>
      <c r="B30" s="47"/>
      <c r="C30" s="52"/>
      <c r="D30" s="48"/>
      <c r="E30" s="48"/>
      <c r="F30" s="48"/>
      <c r="G30" s="52"/>
      <c r="H30" s="48"/>
      <c r="I30" s="48"/>
      <c r="J30" s="48"/>
      <c r="K30" s="48"/>
      <c r="L30" s="75"/>
    </row>
    <row r="31" ht="12" customHeight="1" spans="1:12">
      <c r="A31" s="49"/>
      <c r="B31" s="50" t="s">
        <v>46</v>
      </c>
      <c r="C31" s="51">
        <f>COUNTIF(CF,"ALIL")</f>
        <v>5</v>
      </c>
      <c r="D31" s="52"/>
      <c r="E31" s="52" t="s">
        <v>90</v>
      </c>
      <c r="F31" s="52" t="s">
        <v>98</v>
      </c>
      <c r="G31" s="51">
        <f>C31*7</f>
        <v>35</v>
      </c>
      <c r="H31" s="52"/>
      <c r="I31" s="52"/>
      <c r="J31" s="52"/>
      <c r="K31" s="52"/>
      <c r="L31" s="77"/>
    </row>
    <row r="32" ht="12" customHeight="1" spans="1:12">
      <c r="A32" s="49"/>
      <c r="B32" s="50"/>
      <c r="C32" s="51">
        <f>COUNTIF(CF,"ALIA")</f>
        <v>0</v>
      </c>
      <c r="D32" s="52"/>
      <c r="E32" s="52" t="s">
        <v>92</v>
      </c>
      <c r="F32" s="52" t="s">
        <v>99</v>
      </c>
      <c r="G32" s="51">
        <f>C32*10</f>
        <v>0</v>
      </c>
      <c r="H32" s="52"/>
      <c r="I32" s="52"/>
      <c r="J32" s="52"/>
      <c r="K32" s="52"/>
      <c r="L32" s="77"/>
    </row>
    <row r="33" ht="12" customHeight="1" spans="1:12">
      <c r="A33" s="49"/>
      <c r="B33" s="50"/>
      <c r="C33" s="51">
        <f>COUNTIF(CF,"ALIH")</f>
        <v>0</v>
      </c>
      <c r="D33" s="52"/>
      <c r="E33" s="52" t="s">
        <v>94</v>
      </c>
      <c r="F33" s="52" t="s">
        <v>100</v>
      </c>
      <c r="G33" s="51">
        <f>C33*15</f>
        <v>0</v>
      </c>
      <c r="H33" s="52"/>
      <c r="I33" s="52"/>
      <c r="J33" s="52"/>
      <c r="K33" s="52"/>
      <c r="L33" s="78"/>
    </row>
    <row r="34" ht="6.75" customHeight="1" spans="1:12">
      <c r="A34" s="49"/>
      <c r="B34" s="50"/>
      <c r="C34" s="48"/>
      <c r="D34" s="52"/>
      <c r="E34" s="52"/>
      <c r="F34" s="52"/>
      <c r="G34" s="48"/>
      <c r="H34" s="52"/>
      <c r="I34" s="52"/>
      <c r="J34" s="52"/>
      <c r="K34" s="52"/>
      <c r="L34" s="77"/>
    </row>
    <row r="35" ht="12" customHeight="1" spans="1:12">
      <c r="A35" s="49"/>
      <c r="B35" s="54" t="s">
        <v>96</v>
      </c>
      <c r="C35" s="51">
        <f>SUM(C31:C33)</f>
        <v>5</v>
      </c>
      <c r="D35" s="52"/>
      <c r="E35" s="52"/>
      <c r="F35" s="54" t="s">
        <v>96</v>
      </c>
      <c r="G35" s="51">
        <f>SUM(G31:G33)</f>
        <v>35</v>
      </c>
      <c r="H35" s="52"/>
      <c r="I35" s="84">
        <f>IF($G$45&lt;&gt;0,G35/$G$45,"")</f>
        <v>0.282258064516129</v>
      </c>
      <c r="J35" s="52"/>
      <c r="K35" s="52"/>
      <c r="L35" s="77"/>
    </row>
    <row r="36" ht="6" customHeight="1" spans="1:12">
      <c r="A36" s="55"/>
      <c r="B36" s="56"/>
      <c r="C36" s="51"/>
      <c r="D36" s="51"/>
      <c r="E36" s="51"/>
      <c r="F36" s="51"/>
      <c r="G36" s="51"/>
      <c r="H36" s="51"/>
      <c r="I36" s="51"/>
      <c r="J36" s="51"/>
      <c r="K36" s="51"/>
      <c r="L36" s="81"/>
    </row>
    <row r="37" ht="12" customHeight="1" spans="1:12">
      <c r="A37" s="46"/>
      <c r="B37" s="47"/>
      <c r="C37" s="52"/>
      <c r="D37" s="48"/>
      <c r="E37" s="48"/>
      <c r="F37" s="48"/>
      <c r="G37" s="52"/>
      <c r="H37" s="48"/>
      <c r="I37" s="48"/>
      <c r="J37" s="48"/>
      <c r="K37" s="48"/>
      <c r="L37" s="75"/>
    </row>
    <row r="38" ht="12" customHeight="1" spans="1:12">
      <c r="A38" s="49"/>
      <c r="B38" s="50" t="s">
        <v>101</v>
      </c>
      <c r="C38" s="51">
        <f>COUNTIF(CF,"AIEL")</f>
        <v>0</v>
      </c>
      <c r="D38" s="52"/>
      <c r="E38" s="52" t="s">
        <v>90</v>
      </c>
      <c r="F38" s="52" t="s">
        <v>97</v>
      </c>
      <c r="G38" s="51">
        <f>C38*5</f>
        <v>0</v>
      </c>
      <c r="H38" s="52"/>
      <c r="I38" s="52"/>
      <c r="J38" s="52"/>
      <c r="K38" s="52"/>
      <c r="L38" s="77"/>
    </row>
    <row r="39" ht="12" customHeight="1" spans="1:12">
      <c r="A39" s="49"/>
      <c r="B39" s="50"/>
      <c r="C39" s="51">
        <f>COUNTIF(CF,"AIEA")</f>
        <v>0</v>
      </c>
      <c r="D39" s="52"/>
      <c r="E39" s="52" t="s">
        <v>92</v>
      </c>
      <c r="F39" s="52" t="s">
        <v>98</v>
      </c>
      <c r="G39" s="51">
        <f>C39*7</f>
        <v>0</v>
      </c>
      <c r="H39" s="52"/>
      <c r="I39" s="52"/>
      <c r="J39" s="52"/>
      <c r="K39" s="52"/>
      <c r="L39" s="77"/>
    </row>
    <row r="40" ht="12" customHeight="1" spans="1:12">
      <c r="A40" s="49"/>
      <c r="B40" s="50"/>
      <c r="C40" s="51">
        <f>COUNTIF(CF,"AIEH")</f>
        <v>0</v>
      </c>
      <c r="D40" s="52"/>
      <c r="E40" s="52" t="s">
        <v>94</v>
      </c>
      <c r="F40" s="52" t="s">
        <v>99</v>
      </c>
      <c r="G40" s="51">
        <f>C40*10</f>
        <v>0</v>
      </c>
      <c r="H40" s="52"/>
      <c r="I40" s="52"/>
      <c r="J40" s="52"/>
      <c r="K40" s="52"/>
      <c r="L40" s="78"/>
    </row>
    <row r="41" ht="6.75" customHeight="1" spans="1:12">
      <c r="A41" s="49"/>
      <c r="B41" s="50"/>
      <c r="C41" s="48"/>
      <c r="D41" s="52"/>
      <c r="E41" s="52"/>
      <c r="F41" s="52"/>
      <c r="G41" s="48"/>
      <c r="H41" s="52"/>
      <c r="I41" s="52"/>
      <c r="J41" s="52"/>
      <c r="K41" s="52"/>
      <c r="L41" s="77"/>
    </row>
    <row r="42" ht="12" customHeight="1" spans="1:12">
      <c r="A42" s="49"/>
      <c r="B42" s="54" t="s">
        <v>96</v>
      </c>
      <c r="C42" s="51">
        <f>SUM(C38:C40)</f>
        <v>0</v>
      </c>
      <c r="D42" s="52"/>
      <c r="E42" s="52"/>
      <c r="F42" s="54" t="s">
        <v>96</v>
      </c>
      <c r="G42" s="51">
        <f>SUM(G38:G40)</f>
        <v>0</v>
      </c>
      <c r="H42" s="52"/>
      <c r="I42" s="85">
        <f>IF($G$45&lt;&gt;0,G42/$G$45,"")</f>
        <v>0</v>
      </c>
      <c r="J42" s="52"/>
      <c r="K42" s="52"/>
      <c r="L42" s="77"/>
    </row>
    <row r="43" ht="6" customHeight="1" spans="1:12">
      <c r="A43" s="55"/>
      <c r="B43" s="56"/>
      <c r="C43" s="51"/>
      <c r="D43" s="51"/>
      <c r="E43" s="51"/>
      <c r="F43" s="51"/>
      <c r="G43" s="51"/>
      <c r="H43" s="51"/>
      <c r="I43" s="51"/>
      <c r="J43" s="51"/>
      <c r="K43" s="51"/>
      <c r="L43" s="81"/>
    </row>
    <row r="44" ht="12" customHeight="1" spans="1:12">
      <c r="A44" s="49"/>
      <c r="B44" s="50"/>
      <c r="C44" s="52"/>
      <c r="D44" s="52"/>
      <c r="E44" s="52"/>
      <c r="F44" s="52"/>
      <c r="G44" s="52"/>
      <c r="H44" s="52"/>
      <c r="I44" s="52"/>
      <c r="J44" s="52"/>
      <c r="K44" s="52"/>
      <c r="L44" s="77"/>
    </row>
    <row r="45" ht="12" customHeight="1" spans="1:12">
      <c r="A45" s="49"/>
      <c r="B45" s="50" t="s">
        <v>102</v>
      </c>
      <c r="C45" s="52"/>
      <c r="D45" s="52"/>
      <c r="E45" s="52"/>
      <c r="F45" s="52"/>
      <c r="G45" s="51">
        <f>SUM(G14+G21+G28+G35+G42)</f>
        <v>124</v>
      </c>
      <c r="H45" s="52"/>
      <c r="I45" s="52"/>
      <c r="J45" s="52"/>
      <c r="K45" s="52"/>
      <c r="L45" s="77"/>
    </row>
    <row r="46" ht="12" customHeight="1" spans="1:12">
      <c r="A46" s="49"/>
      <c r="B46" s="50" t="s">
        <v>103</v>
      </c>
      <c r="C46" s="52"/>
      <c r="D46" s="52"/>
      <c r="E46" s="52"/>
      <c r="F46" s="52"/>
      <c r="G46" s="51">
        <f>(C10+C11+C12)*4+(C17+C18+C19)*5+(C24+C25+C26)*4+(C31+C32+C33)*7+(C38+C39+C40)*5</f>
        <v>129</v>
      </c>
      <c r="H46" s="52"/>
      <c r="I46" s="52"/>
      <c r="J46" s="52"/>
      <c r="K46" s="52"/>
      <c r="L46" s="77"/>
    </row>
    <row r="47" ht="12" customHeight="1" spans="1:12">
      <c r="A47" s="49"/>
      <c r="B47" s="50" t="s">
        <v>104</v>
      </c>
      <c r="C47" s="52"/>
      <c r="D47" s="52"/>
      <c r="E47" s="52"/>
      <c r="F47" s="52"/>
      <c r="G47" s="51">
        <f>(C31+C32+C33)*35+(C38+C39+C40)*15</f>
        <v>175</v>
      </c>
      <c r="H47" s="52"/>
      <c r="I47" s="52"/>
      <c r="J47" s="52"/>
      <c r="K47" s="52"/>
      <c r="L47" s="77"/>
    </row>
    <row r="48" ht="12" customHeight="1" spans="1:12">
      <c r="A48" s="49"/>
      <c r="B48" s="50"/>
      <c r="C48" s="52"/>
      <c r="D48" s="52"/>
      <c r="E48" s="52"/>
      <c r="F48" s="52"/>
      <c r="G48" s="52"/>
      <c r="H48" s="52"/>
      <c r="I48" s="52"/>
      <c r="J48" s="52"/>
      <c r="K48" s="52"/>
      <c r="L48" s="77"/>
    </row>
    <row r="49" ht="12" customHeight="1" spans="1:12">
      <c r="A49" s="49"/>
      <c r="B49" s="50"/>
      <c r="C49" s="52"/>
      <c r="D49" s="52"/>
      <c r="E49" s="52"/>
      <c r="F49" s="52"/>
      <c r="G49" s="52"/>
      <c r="H49" s="52"/>
      <c r="I49" s="52"/>
      <c r="J49" s="52"/>
      <c r="K49" s="52"/>
      <c r="L49" s="77"/>
    </row>
    <row r="50" ht="12" customHeight="1" spans="1:12">
      <c r="A50" s="49"/>
      <c r="H50" s="52"/>
      <c r="I50" s="52"/>
      <c r="J50" s="52"/>
      <c r="L50" s="77"/>
    </row>
    <row r="51" ht="13.5" customHeight="1" spans="1:12">
      <c r="A51" s="49"/>
      <c r="H51" s="52"/>
      <c r="I51" s="52"/>
      <c r="J51" s="52"/>
      <c r="L51" s="77"/>
    </row>
    <row r="52" ht="12" customHeight="1" spans="1:1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75"/>
    </row>
    <row r="53" ht="12" customHeight="1" spans="1:12">
      <c r="A53" s="49"/>
      <c r="B53" s="50" t="s">
        <v>105</v>
      </c>
      <c r="C53" s="50"/>
      <c r="D53" s="50"/>
      <c r="E53" s="50"/>
      <c r="F53" s="50"/>
      <c r="G53" s="50"/>
      <c r="H53" s="50"/>
      <c r="I53" s="50"/>
      <c r="J53" s="50"/>
      <c r="K53" s="50"/>
      <c r="L53" s="77"/>
    </row>
    <row r="54" ht="12" customHeight="1" spans="1:12">
      <c r="A54" s="49"/>
      <c r="B54" s="50"/>
      <c r="C54" s="50"/>
      <c r="D54" s="50"/>
      <c r="E54" s="57" t="s">
        <v>7</v>
      </c>
      <c r="F54" s="57" t="s">
        <v>106</v>
      </c>
      <c r="G54" s="57" t="s">
        <v>107</v>
      </c>
      <c r="H54" s="50"/>
      <c r="I54" s="50"/>
      <c r="J54" s="50"/>
      <c r="K54" s="50"/>
      <c r="L54" s="77"/>
    </row>
    <row r="55" ht="12" customHeight="1" spans="1:12">
      <c r="A55" s="49"/>
      <c r="B55" s="58" t="s">
        <v>108</v>
      </c>
      <c r="C55" s="58"/>
      <c r="D55" s="58"/>
      <c r="E55" s="59">
        <f>SUMIF(Funções!$I$8:$I$77,"I",Funções!$O$8:$O$77)</f>
        <v>124</v>
      </c>
      <c r="F55" s="59">
        <f>Contagem!U10</f>
        <v>1</v>
      </c>
      <c r="G55" s="60">
        <f>F55*E55</f>
        <v>124</v>
      </c>
      <c r="H55" s="61"/>
      <c r="I55" s="61"/>
      <c r="J55" s="61"/>
      <c r="K55" s="86" t="s">
        <v>109</v>
      </c>
      <c r="L55" s="77"/>
    </row>
    <row r="56" ht="12" customHeight="1" spans="1:12">
      <c r="A56" s="49"/>
      <c r="B56" s="58" t="s">
        <v>110</v>
      </c>
      <c r="C56" s="58"/>
      <c r="D56" s="58"/>
      <c r="E56" s="59">
        <f>SUMIF(Funções!$I$8:$I$77,"A",Funções!$O$8:$O$77)</f>
        <v>0</v>
      </c>
      <c r="F56" s="59">
        <f>Contagem!U11</f>
        <v>1</v>
      </c>
      <c r="G56" s="60">
        <f>F56*E56</f>
        <v>0</v>
      </c>
      <c r="H56" s="61"/>
      <c r="I56" s="61"/>
      <c r="J56" s="61"/>
      <c r="K56" s="87">
        <f>Contagem!W5</f>
        <v>124</v>
      </c>
      <c r="L56" s="77"/>
    </row>
    <row r="57" ht="12" customHeight="1" spans="1:12">
      <c r="A57" s="49"/>
      <c r="B57" s="58" t="s">
        <v>111</v>
      </c>
      <c r="C57" s="58"/>
      <c r="D57" s="58"/>
      <c r="E57" s="59">
        <f>SUMIF(Funções!$I$8:$I$77,"E",Funções!$O$8:$O$77)</f>
        <v>0</v>
      </c>
      <c r="F57" s="59">
        <f>Contagem!U12</f>
        <v>1</v>
      </c>
      <c r="G57" s="60">
        <f>F57*E57</f>
        <v>0</v>
      </c>
      <c r="H57" s="61"/>
      <c r="I57" s="61"/>
      <c r="J57" s="61"/>
      <c r="K57" s="50"/>
      <c r="L57" s="77"/>
    </row>
    <row r="58" ht="12" customHeight="1" spans="1:12">
      <c r="A58" s="49"/>
      <c r="B58" s="58" t="s">
        <v>112</v>
      </c>
      <c r="C58" s="58"/>
      <c r="D58" s="58"/>
      <c r="E58" s="59">
        <f>SUMIF(Funções!$I$8:$I$77,"T",Funções!$O$8:$O$77)</f>
        <v>0</v>
      </c>
      <c r="F58" s="59">
        <f>Contagem!U13</f>
        <v>0</v>
      </c>
      <c r="G58" s="60">
        <f>F58*E58</f>
        <v>0</v>
      </c>
      <c r="H58" s="61"/>
      <c r="I58" s="61"/>
      <c r="J58" s="61"/>
      <c r="K58" s="50"/>
      <c r="L58" s="77"/>
    </row>
    <row r="59" ht="12" customHeight="1" spans="1:12">
      <c r="A59" s="62"/>
      <c r="B59" s="63"/>
      <c r="C59" s="64"/>
      <c r="D59" s="65"/>
      <c r="E59" s="66"/>
      <c r="F59" s="65"/>
      <c r="G59" s="67"/>
      <c r="H59" s="68"/>
      <c r="I59" s="68"/>
      <c r="J59" s="68"/>
      <c r="K59" s="88"/>
      <c r="L59" s="89"/>
    </row>
    <row r="60" ht="12" customHeight="1" spans="2:11">
      <c r="B60" s="69"/>
      <c r="C60" s="70"/>
      <c r="E60" s="71"/>
      <c r="G60" s="72"/>
      <c r="H60" s="61"/>
      <c r="I60" s="61"/>
      <c r="J60" s="61"/>
      <c r="K60" s="90"/>
    </row>
    <row r="61" ht="12" customHeight="1" spans="2:11">
      <c r="B61" s="69"/>
      <c r="C61" s="70"/>
      <c r="E61" s="71"/>
      <c r="G61" s="72"/>
      <c r="H61" s="61"/>
      <c r="I61" s="61"/>
      <c r="J61" s="61"/>
      <c r="K61" s="90"/>
    </row>
  </sheetData>
  <mergeCells count="18">
    <mergeCell ref="A4:E4"/>
    <mergeCell ref="F4:L4"/>
    <mergeCell ref="A5:E5"/>
    <mergeCell ref="F5:L5"/>
    <mergeCell ref="F6:G6"/>
    <mergeCell ref="H6:J6"/>
    <mergeCell ref="K6:L6"/>
    <mergeCell ref="B55:D55"/>
    <mergeCell ref="B56:D56"/>
    <mergeCell ref="B57:D57"/>
    <mergeCell ref="B58:D58"/>
    <mergeCell ref="G7:G8"/>
    <mergeCell ref="H7:H8"/>
    <mergeCell ref="A7:B8"/>
    <mergeCell ref="I7:J8"/>
    <mergeCell ref="K7:L8"/>
    <mergeCell ref="C7:F8"/>
    <mergeCell ref="A1:L3"/>
  </mergeCells>
  <pageMargins left="0.747916666666667" right="0.747916666666667" top="1.30972222222222" bottom="0.984027777777778" header="0.511805555555556" footer="0.492361111111111"/>
  <pageSetup paperSize="9" firstPageNumber="0" orientation="portrait" useFirstPageNumber="1" horizontalDpi="300" verticalDpi="300"/>
  <headerFooter alignWithMargins="0">
    <oddHeader>&amp;C&amp;"Arial"&amp;8&amp;K000000INTERNAL&amp;1#</oddHeader>
    <oddFooter>&amp;R&amp;"Tahoma,Normal"&amp;8&amp;F - &amp;A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17" sqref="A17"/>
    </sheetView>
  </sheetViews>
  <sheetFormatPr defaultColWidth="9" defaultRowHeight="14.25" customHeight="1" outlineLevelCol="3"/>
  <cols>
    <col min="1" max="1" width="41.8571428571429" customWidth="1"/>
    <col min="2" max="2" width="28.4285714285714" style="7" customWidth="1"/>
    <col min="3" max="3" width="8.42857142857143" customWidth="1"/>
    <col min="4" max="4" width="8.14285714285714" customWidth="1"/>
    <col min="10" max="10" width="9.14285714285714" customWidth="1"/>
  </cols>
  <sheetData>
    <row r="1" s="6" customFormat="1" customHeight="1" spans="1:2">
      <c r="A1" s="8" t="s">
        <v>113</v>
      </c>
      <c r="B1" s="9" t="s">
        <v>7</v>
      </c>
    </row>
    <row r="2" customHeight="1" spans="1:2">
      <c r="A2" s="10"/>
      <c r="B2" s="11"/>
    </row>
    <row r="3" customHeight="1" spans="1:2">
      <c r="A3" s="12" t="s">
        <v>96</v>
      </c>
      <c r="B3" s="13">
        <f>VALUE(Contagem!W5)</f>
        <v>124</v>
      </c>
    </row>
    <row r="5" customHeight="1" spans="1:2">
      <c r="A5" s="14" t="s">
        <v>114</v>
      </c>
      <c r="B5" s="15">
        <v>1</v>
      </c>
    </row>
    <row r="7" customHeight="1" spans="1:2">
      <c r="A7" s="16" t="s">
        <v>115</v>
      </c>
      <c r="B7" s="16"/>
    </row>
    <row r="8" customHeight="1" spans="1:2">
      <c r="A8" s="6"/>
      <c r="B8"/>
    </row>
    <row r="9" customHeight="1" spans="1:4">
      <c r="A9" s="17" t="s">
        <v>116</v>
      </c>
      <c r="B9" s="18" t="s">
        <v>117</v>
      </c>
      <c r="D9" s="19"/>
    </row>
    <row r="10" customHeight="1" spans="1:4">
      <c r="A10" s="20" t="s">
        <v>118</v>
      </c>
      <c r="B10" s="21">
        <f>1/VLOOKUP(B9,'Produtividade Histórica'!A2:B40,2)</f>
        <v>0.5</v>
      </c>
      <c r="D10" s="19"/>
    </row>
    <row r="11" customHeight="1" spans="1:2">
      <c r="A11" s="22" t="s">
        <v>119</v>
      </c>
      <c r="B11" s="23">
        <f>B3/B10</f>
        <v>248</v>
      </c>
    </row>
    <row r="12" customHeight="1" spans="1:2">
      <c r="A12" s="20" t="s">
        <v>120</v>
      </c>
      <c r="B12" s="24">
        <f>8*22</f>
        <v>176</v>
      </c>
    </row>
    <row r="13" customHeight="1" spans="1:2">
      <c r="A13" s="20" t="s">
        <v>121</v>
      </c>
      <c r="B13" s="25">
        <v>3</v>
      </c>
    </row>
    <row r="14" customHeight="1" spans="1:2">
      <c r="A14" s="26" t="s">
        <v>122</v>
      </c>
      <c r="B14" s="27">
        <f>B11/B13</f>
        <v>82.6666666666667</v>
      </c>
    </row>
    <row r="16" customHeight="1" spans="1:4">
      <c r="A16" s="28" t="s">
        <v>123</v>
      </c>
      <c r="B16" s="29"/>
      <c r="D16" s="19"/>
    </row>
    <row r="17" customHeight="1" spans="1:4">
      <c r="A17" s="30" t="s">
        <v>124</v>
      </c>
      <c r="B17" s="31">
        <f>B$11*0.2</f>
        <v>49.6</v>
      </c>
      <c r="D17" s="19"/>
    </row>
    <row r="18" customHeight="1" spans="1:2">
      <c r="A18" s="30" t="s">
        <v>125</v>
      </c>
      <c r="B18" s="31">
        <f>B$11*0.3</f>
        <v>74.4</v>
      </c>
    </row>
    <row r="19" customHeight="1" spans="1:2">
      <c r="A19" s="30" t="s">
        <v>126</v>
      </c>
      <c r="B19" s="31">
        <f>B$11*0.4</f>
        <v>99.2</v>
      </c>
    </row>
    <row r="20" customHeight="1" spans="1:2">
      <c r="A20" s="32" t="s">
        <v>127</v>
      </c>
      <c r="B20" s="33">
        <f>B$11*0.1</f>
        <v>24.8</v>
      </c>
    </row>
    <row r="21" customHeight="1" spans="2:2">
      <c r="B21"/>
    </row>
    <row r="22" customHeight="1" spans="1:2">
      <c r="A22" s="28" t="s">
        <v>128</v>
      </c>
      <c r="B22" s="29"/>
    </row>
    <row r="23" customHeight="1" spans="1:2">
      <c r="A23" s="30" t="s">
        <v>124</v>
      </c>
      <c r="B23" s="31">
        <f>(B$11*0.2)/$B$5</f>
        <v>49.6</v>
      </c>
    </row>
    <row r="24" customHeight="1" spans="1:2">
      <c r="A24" s="30" t="s">
        <v>125</v>
      </c>
      <c r="B24" s="31">
        <f>B$11*0.3/$B$5</f>
        <v>74.4</v>
      </c>
    </row>
    <row r="25" customHeight="1" spans="1:2">
      <c r="A25" s="30" t="s">
        <v>126</v>
      </c>
      <c r="B25" s="31">
        <f>B$11*0.4/$B$5</f>
        <v>99.2</v>
      </c>
    </row>
    <row r="26" customHeight="1" spans="1:2">
      <c r="A26" s="32" t="s">
        <v>127</v>
      </c>
      <c r="B26" s="33">
        <f>B$11*0.1/$B$5</f>
        <v>24.8</v>
      </c>
    </row>
    <row r="28" customHeight="1" spans="1:2">
      <c r="A28" s="28" t="s">
        <v>129</v>
      </c>
      <c r="B28" s="29"/>
    </row>
    <row r="29" customHeight="1" spans="1:2">
      <c r="A29" s="30" t="s">
        <v>124</v>
      </c>
      <c r="B29" s="31">
        <f>$B$3*0.2/$B$5</f>
        <v>24.8</v>
      </c>
    </row>
    <row r="30" customHeight="1" spans="1:2">
      <c r="A30" s="30" t="s">
        <v>125</v>
      </c>
      <c r="B30" s="31">
        <f>$B$3*0.3/$B$5</f>
        <v>37.2</v>
      </c>
    </row>
    <row r="31" customHeight="1" spans="1:2">
      <c r="A31" s="30" t="s">
        <v>126</v>
      </c>
      <c r="B31" s="31">
        <f>$B$3*0.4/$B$5</f>
        <v>49.6</v>
      </c>
    </row>
    <row r="32" customHeight="1" spans="1:2">
      <c r="A32" s="32" t="s">
        <v>127</v>
      </c>
      <c r="B32" s="33">
        <f>$B$3*0.1/$B$5</f>
        <v>12.4</v>
      </c>
    </row>
  </sheetData>
  <mergeCells count="1">
    <mergeCell ref="A7:B7"/>
  </mergeCells>
  <dataValidations count="1">
    <dataValidation type="list" allowBlank="1" showInputMessage="1" showErrorMessage="1" sqref="B9">
      <formula1>'Produtividade Histórica'!$A$2:$A$28</formula1>
    </dataValidation>
  </dataValidations>
  <pageMargins left="0.511811024" right="0.511811024" top="0.787401575" bottom="0.787401575" header="0.31496062" footer="0.31496062"/>
  <pageSetup paperSize="9" orientation="landscape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B24" sqref="B24"/>
    </sheetView>
  </sheetViews>
  <sheetFormatPr defaultColWidth="9" defaultRowHeight="12.75" outlineLevelCol="1"/>
  <cols>
    <col min="1" max="1" width="30.7142857142857" customWidth="1"/>
    <col min="2" max="2" width="11.2857142857143" customWidth="1"/>
  </cols>
  <sheetData>
    <row r="1" spans="1:2">
      <c r="A1" s="1" t="s">
        <v>130</v>
      </c>
      <c r="B1" s="1" t="s">
        <v>131</v>
      </c>
    </row>
    <row r="2" spans="1:2">
      <c r="A2" s="2" t="s">
        <v>132</v>
      </c>
      <c r="B2" s="3">
        <v>2</v>
      </c>
    </row>
    <row r="3" spans="1:2">
      <c r="A3" s="2" t="s">
        <v>133</v>
      </c>
      <c r="B3" s="3">
        <v>3</v>
      </c>
    </row>
    <row r="4" spans="1:2">
      <c r="A4" s="2" t="s">
        <v>134</v>
      </c>
      <c r="B4" s="3">
        <v>2</v>
      </c>
    </row>
    <row r="5" spans="1:2">
      <c r="A5" s="2" t="s">
        <v>41</v>
      </c>
      <c r="B5" s="3">
        <v>5</v>
      </c>
    </row>
    <row r="6" spans="1:2">
      <c r="A6" s="2" t="s">
        <v>135</v>
      </c>
      <c r="B6" s="3">
        <v>3</v>
      </c>
    </row>
    <row r="7" spans="1:2">
      <c r="A7" s="2" t="s">
        <v>136</v>
      </c>
      <c r="B7" s="3">
        <v>3</v>
      </c>
    </row>
    <row r="8" spans="1:2">
      <c r="A8" s="2" t="s">
        <v>137</v>
      </c>
      <c r="B8" s="3">
        <v>2</v>
      </c>
    </row>
    <row r="9" spans="1:2">
      <c r="A9" s="2" t="s">
        <v>138</v>
      </c>
      <c r="B9" s="3">
        <v>3</v>
      </c>
    </row>
    <row r="10" spans="1:2">
      <c r="A10" s="2" t="s">
        <v>139</v>
      </c>
      <c r="B10" s="3">
        <v>2</v>
      </c>
    </row>
    <row r="11" spans="1:2">
      <c r="A11" s="4" t="s">
        <v>140</v>
      </c>
      <c r="B11" s="5">
        <v>2</v>
      </c>
    </row>
    <row r="12" spans="1:2">
      <c r="A12" s="2" t="s">
        <v>141</v>
      </c>
      <c r="B12" s="3">
        <v>3</v>
      </c>
    </row>
    <row r="13" spans="1:2">
      <c r="A13" s="2" t="s">
        <v>142</v>
      </c>
      <c r="B13" s="3">
        <v>4</v>
      </c>
    </row>
    <row r="14" spans="1:2">
      <c r="A14" s="2" t="s">
        <v>143</v>
      </c>
      <c r="B14" s="3">
        <v>3</v>
      </c>
    </row>
    <row r="15" spans="1:2">
      <c r="A15" s="2" t="s">
        <v>144</v>
      </c>
      <c r="B15" s="3">
        <v>2</v>
      </c>
    </row>
    <row r="16" spans="1:2">
      <c r="A16" s="2" t="s">
        <v>145</v>
      </c>
      <c r="B16" s="3">
        <v>5</v>
      </c>
    </row>
    <row r="17" spans="1:2">
      <c r="A17" s="2" t="s">
        <v>146</v>
      </c>
      <c r="B17" s="3">
        <v>5</v>
      </c>
    </row>
    <row r="18" spans="1:2">
      <c r="A18" s="2" t="s">
        <v>147</v>
      </c>
      <c r="B18" s="3">
        <v>4</v>
      </c>
    </row>
    <row r="19" spans="1:2">
      <c r="A19" s="2" t="s">
        <v>148</v>
      </c>
      <c r="B19" s="3">
        <v>4</v>
      </c>
    </row>
    <row r="20" spans="1:2">
      <c r="A20" s="2" t="s">
        <v>149</v>
      </c>
      <c r="B20" s="3">
        <v>2</v>
      </c>
    </row>
    <row r="21" spans="1:2">
      <c r="A21" s="2" t="s">
        <v>150</v>
      </c>
      <c r="B21" s="3">
        <v>4</v>
      </c>
    </row>
    <row r="22" spans="1:2">
      <c r="A22" s="2" t="s">
        <v>151</v>
      </c>
      <c r="B22" s="3">
        <v>5</v>
      </c>
    </row>
    <row r="23" spans="1:2">
      <c r="A23" s="2" t="s">
        <v>152</v>
      </c>
      <c r="B23" s="3">
        <v>7</v>
      </c>
    </row>
    <row r="24" spans="1:2">
      <c r="A24" s="2" t="s">
        <v>153</v>
      </c>
      <c r="B24" s="3">
        <v>10</v>
      </c>
    </row>
    <row r="25" spans="1:2">
      <c r="A25" s="2" t="s">
        <v>154</v>
      </c>
      <c r="B25" s="3">
        <v>7</v>
      </c>
    </row>
    <row r="26" spans="1:2">
      <c r="A26" s="2" t="s">
        <v>155</v>
      </c>
      <c r="B26" s="3">
        <v>9</v>
      </c>
    </row>
    <row r="27" spans="1:2">
      <c r="A27" s="2" t="s">
        <v>156</v>
      </c>
      <c r="B27" s="3">
        <v>8</v>
      </c>
    </row>
    <row r="28" spans="1:2">
      <c r="A28" s="2" t="s">
        <v>157</v>
      </c>
      <c r="B28" s="3">
        <v>8</v>
      </c>
    </row>
  </sheetData>
  <pageMargins left="0.511811024" right="0.511811024" top="0.787401575" bottom="0.787401575" header="0.31496062" footer="0.31496062"/>
  <pageSetup paperSize="9" orientation="portrait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Contagem</vt:lpstr>
      <vt:lpstr>Funções</vt:lpstr>
      <vt:lpstr>Sumário</vt:lpstr>
      <vt:lpstr>Estimativas</vt:lpstr>
      <vt:lpstr>Produtividade Histórica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de Contagem de Pontos de Função</dc:title>
  <dc:creator>Guilherme Simões e Carlos Vazqu</dc:creator>
  <cp:lastModifiedBy>lucas</cp:lastModifiedBy>
  <cp:revision>1</cp:revision>
  <dcterms:created xsi:type="dcterms:W3CDTF">2001-07-23T10:50:00Z</dcterms:created>
  <cp:lastPrinted>2014-09-03T16:48:00Z</cp:lastPrinted>
  <dcterms:modified xsi:type="dcterms:W3CDTF">2021-03-09T00:06:01Z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heuber.lima@enel.com</vt:lpwstr>
  </property>
  <property fmtid="{D5CDD505-2E9C-101B-9397-08002B2CF9AE}" pid="5" name="MSIP_Label_00183ae1-726f-4969-b787-1995b26b5e2f_SetDate">
    <vt:lpwstr>2020-10-02T11:13:31.2556887Z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7da572bf-eea1-4be0-9ac0-3f78a49095e1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heuber.lima@enel.com</vt:lpwstr>
  </property>
  <property fmtid="{D5CDD505-2E9C-101B-9397-08002B2CF9AE}" pid="13" name="MSIP_Label_797ad33d-ed35-43c0-b526-22bc83c17deb_SetDate">
    <vt:lpwstr>2020-10-02T11:13:31.2556887Z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7da572bf-eea1-4be0-9ac0-3f78a49095e1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  <property fmtid="{D5CDD505-2E9C-101B-9397-08002B2CF9AE}" pid="20" name="KSOProductBuildVer">
    <vt:lpwstr>1046-11.2.0.9926</vt:lpwstr>
  </property>
</Properties>
</file>