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quant-summer-2025\SaaSV\"/>
    </mc:Choice>
  </mc:AlternateContent>
  <xr:revisionPtr revIDLastSave="0" documentId="13_ncr:1_{ED40B156-2FE9-4F33-8882-FBB46D67A016}" xr6:coauthVersionLast="47" xr6:coauthVersionMax="47" xr10:uidLastSave="{00000000-0000-0000-0000-000000000000}"/>
  <bookViews>
    <workbookView xWindow="-108" yWindow="-108" windowWidth="23256" windowHeight="13176" activeTab="3" xr2:uid="{270BAFE9-F160-4EC3-8ED5-C7005A9C532B}"/>
  </bookViews>
  <sheets>
    <sheet name="Drivers" sheetId="1" r:id="rId1"/>
    <sheet name="IncomeStmt" sheetId="2" r:id="rId2"/>
    <sheet name="BalanceSheet" sheetId="3" r:id="rId3"/>
    <sheet name="CashFlow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B16" i="4"/>
  <c r="C6" i="3"/>
  <c r="D6" i="3"/>
  <c r="E6" i="3"/>
  <c r="F6" i="3"/>
  <c r="B6" i="3"/>
  <c r="B5" i="4" s="1"/>
  <c r="B3" i="3"/>
  <c r="B5" i="3" s="1"/>
  <c r="B6" i="2"/>
  <c r="C6" i="2"/>
  <c r="D6" i="2"/>
  <c r="E6" i="2"/>
  <c r="F6" i="2"/>
  <c r="B5" i="2"/>
  <c r="C11" i="1"/>
  <c r="D11" i="1" s="1"/>
  <c r="D9" i="1"/>
  <c r="E9" i="1" s="1"/>
  <c r="F9" i="1" s="1"/>
  <c r="C9" i="1"/>
  <c r="C8" i="1"/>
  <c r="C5" i="2" s="1"/>
  <c r="C7" i="2" s="1"/>
  <c r="C9" i="2" s="1"/>
  <c r="C8" i="4"/>
  <c r="D8" i="4"/>
  <c r="E8" i="4"/>
  <c r="F8" i="4"/>
  <c r="C5" i="4"/>
  <c r="D5" i="4"/>
  <c r="E5" i="4"/>
  <c r="F5" i="4"/>
  <c r="C11" i="4"/>
  <c r="D11" i="4"/>
  <c r="E11" i="4"/>
  <c r="F11" i="4"/>
  <c r="B13" i="4"/>
  <c r="B11" i="4"/>
  <c r="B8" i="4"/>
  <c r="C4" i="2"/>
  <c r="D4" i="2"/>
  <c r="E4" i="2"/>
  <c r="F4" i="2"/>
  <c r="B4" i="2"/>
  <c r="C3" i="2"/>
  <c r="D3" i="2"/>
  <c r="E3" i="2"/>
  <c r="F3" i="2"/>
  <c r="B3" i="2"/>
  <c r="C2" i="2"/>
  <c r="D2" i="2"/>
  <c r="E2" i="2"/>
  <c r="F2" i="2"/>
  <c r="B2" i="2"/>
  <c r="D8" i="1" l="1"/>
  <c r="E11" i="1"/>
  <c r="D3" i="3"/>
  <c r="C3" i="3"/>
  <c r="B4" i="4" s="1"/>
  <c r="B8" i="3"/>
  <c r="B7" i="2"/>
  <c r="B9" i="2" s="1"/>
  <c r="B10" i="2" s="1"/>
  <c r="B11" i="2" s="1"/>
  <c r="B2" i="4" s="1"/>
  <c r="C10" i="2"/>
  <c r="C11" i="2" s="1"/>
  <c r="C2" i="4" s="1"/>
  <c r="F5" i="1"/>
  <c r="D4" i="1"/>
  <c r="E4" i="1" s="1"/>
  <c r="F4" i="1" s="1"/>
  <c r="C4" i="1"/>
  <c r="F2" i="1"/>
  <c r="D5" i="2" l="1"/>
  <c r="D7" i="2" s="1"/>
  <c r="D9" i="2" s="1"/>
  <c r="D10" i="2" s="1"/>
  <c r="D11" i="2" s="1"/>
  <c r="D2" i="4" s="1"/>
  <c r="E8" i="1"/>
  <c r="B6" i="4"/>
  <c r="B12" i="4" s="1"/>
  <c r="B14" i="4" s="1"/>
  <c r="C2" i="3" s="1"/>
  <c r="C5" i="3" s="1"/>
  <c r="C8" i="3" s="1"/>
  <c r="C4" i="4"/>
  <c r="C6" i="4" s="1"/>
  <c r="C12" i="4" s="1"/>
  <c r="F11" i="1"/>
  <c r="F3" i="3" s="1"/>
  <c r="E3" i="3"/>
  <c r="D4" i="4" s="1"/>
  <c r="D6" i="4" s="1"/>
  <c r="D12" i="4" s="1"/>
  <c r="C2" i="1"/>
  <c r="C5" i="1" s="1"/>
  <c r="B5" i="1"/>
  <c r="F8" i="1" l="1"/>
  <c r="F5" i="2" s="1"/>
  <c r="F7" i="2" s="1"/>
  <c r="F9" i="2" s="1"/>
  <c r="F10" i="2" s="1"/>
  <c r="F11" i="2" s="1"/>
  <c r="F2" i="4" s="1"/>
  <c r="E5" i="2"/>
  <c r="E7" i="2" s="1"/>
  <c r="E9" i="2" s="1"/>
  <c r="C13" i="4"/>
  <c r="C14" i="4" s="1"/>
  <c r="D2" i="3" s="1"/>
  <c r="D5" i="3" s="1"/>
  <c r="D8" i="3" s="1"/>
  <c r="E4" i="4"/>
  <c r="F4" i="4"/>
  <c r="D2" i="1"/>
  <c r="E2" i="1" s="1"/>
  <c r="E5" i="1" s="1"/>
  <c r="F6" i="4" l="1"/>
  <c r="F12" i="4" s="1"/>
  <c r="E10" i="2"/>
  <c r="E11" i="2" s="1"/>
  <c r="E2" i="4" s="1"/>
  <c r="E6" i="4" s="1"/>
  <c r="E12" i="4" s="1"/>
  <c r="D13" i="4"/>
  <c r="D14" i="4" s="1"/>
  <c r="E2" i="3" s="1"/>
  <c r="E5" i="3" s="1"/>
  <c r="E8" i="3" s="1"/>
  <c r="D5" i="1"/>
  <c r="E13" i="4" l="1"/>
  <c r="E14" i="4" s="1"/>
  <c r="F2" i="3" s="1"/>
  <c r="F5" i="3" s="1"/>
  <c r="F8" i="3" s="1"/>
  <c r="F13" i="4" l="1"/>
  <c r="F14" i="4" s="1"/>
</calcChain>
</file>

<file path=xl/sharedStrings.xml><?xml version="1.0" encoding="utf-8"?>
<sst xmlns="http://schemas.openxmlformats.org/spreadsheetml/2006/main" count="51" uniqueCount="43">
  <si>
    <t>Line Item</t>
  </si>
  <si>
    <t># Customers (beginning)</t>
  </si>
  <si>
    <t>Average Revenue per Customer ($)</t>
  </si>
  <si>
    <t>Growth Rate (%)</t>
  </si>
  <si>
    <t>Total Revenue (in $000´s)</t>
  </si>
  <si>
    <t>Revenue</t>
  </si>
  <si>
    <t>COGS</t>
  </si>
  <si>
    <t>Gross Profit</t>
  </si>
  <si>
    <t>SG&amp;A</t>
  </si>
  <si>
    <t>R&amp;D</t>
  </si>
  <si>
    <t>EBIT</t>
  </si>
  <si>
    <t>Interest Expense</t>
  </si>
  <si>
    <t>Pre-Tax Income</t>
  </si>
  <si>
    <t>Tax Expense</t>
  </si>
  <si>
    <t>Net Income</t>
  </si>
  <si>
    <t>All Numbers in 000´s</t>
  </si>
  <si>
    <t>Cash</t>
  </si>
  <si>
    <t>Accounts Receivable</t>
  </si>
  <si>
    <t>Net PP&amp;E</t>
  </si>
  <si>
    <t>Total Assets</t>
  </si>
  <si>
    <t>Accounts Payable</t>
  </si>
  <si>
    <t>Long-Term Debt</t>
  </si>
  <si>
    <t>Common Equity</t>
  </si>
  <si>
    <t>All numbers in $000´s</t>
  </si>
  <si>
    <t>Depreciation &amp; Amortization</t>
  </si>
  <si>
    <t>∆ Accounts Payable</t>
  </si>
  <si>
    <t>∆ Accounts Receivable</t>
  </si>
  <si>
    <t>Operating Cash Flow</t>
  </si>
  <si>
    <t>Capital Expenditures (CapEx)</t>
  </si>
  <si>
    <t>Investing Cash Flow</t>
  </si>
  <si>
    <t>Debt Issued (Repaid)</t>
  </si>
  <si>
    <t>Equity Issued</t>
  </si>
  <si>
    <t>Financing Cash Flow</t>
  </si>
  <si>
    <t>Net Change in Cash</t>
  </si>
  <si>
    <t>Beggining Cash</t>
  </si>
  <si>
    <t>Ending Cash</t>
  </si>
  <si>
    <t>Blue Cells = Inputs</t>
  </si>
  <si>
    <t>A-col label</t>
  </si>
  <si>
    <t>SG&amp;A % of Revenue</t>
  </si>
  <si>
    <t>R&amp;D % of Revenue</t>
  </si>
  <si>
    <t>DSO (days)</t>
  </si>
  <si>
    <t>DPO(days)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</si>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</sst>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,"/>
    <numFmt numFmtId="166" formatCode="&quot;$&quot;#,##0,;\(&quot;$&quot;#,##0,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3" fillId="3" borderId="1" xfId="0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0" fontId="5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left"/>
    </xf>
    <xf numFmtId="165" fontId="5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" fontId="2" fillId="4" borderId="0" xfId="0" applyNumberFormat="1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0" fontId="2" fillId="4" borderId="0" xfId="0" applyFont="1" applyFill="1"/>
    <xf numFmtId="166" fontId="2" fillId="0" borderId="0" xfId="0" applyNumberFormat="1" applyFont="1"/>
    <xf numFmtId="166" fontId="4" fillId="3" borderId="1" xfId="0" applyNumberFormat="1" applyFont="1" applyFill="1" applyBorder="1"/>
    <xf numFmtId="166" fontId="2" fillId="4" borderId="0" xfId="0" applyNumberFormat="1" applyFont="1" applyFill="1"/>
    <xf numFmtId="166" fontId="5" fillId="3" borderId="1" xfId="0" applyNumberFormat="1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2" xfId="0" applyFont="1" applyFill="1" applyBorder="1"/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2" fillId="4" borderId="0" xfId="2" applyFont="1" applyFill="1"/>
    <xf numFmtId="9" fontId="2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110D-3FA4-49F2-A362-8303600FBB86}">
  <dimension ref="A1:J15"/>
  <sheetViews>
    <sheetView zoomScale="130" zoomScaleNormal="130" workbookViewId="0">
      <selection activeCell="B12" sqref="B12"/>
    </sheetView>
  </sheetViews>
  <sheetFormatPr defaultRowHeight="14.4" x14ac:dyDescent="0.3"/>
  <cols>
    <col min="1" max="1" width="22.5546875" bestFit="1" customWidth="1"/>
    <col min="2" max="4" width="14.109375" bestFit="1" customWidth="1"/>
    <col min="5" max="6" width="15.109375" bestFit="1" customWidth="1"/>
  </cols>
  <sheetData>
    <row r="1" spans="1:10" x14ac:dyDescent="0.3">
      <c r="A1" s="13" t="s">
        <v>0</v>
      </c>
      <c r="B1" s="14">
        <v>2024</v>
      </c>
      <c r="C1" s="14">
        <v>2025</v>
      </c>
      <c r="D1" s="14">
        <v>2026</v>
      </c>
      <c r="E1" s="14">
        <v>2027</v>
      </c>
      <c r="F1" s="14">
        <v>2028</v>
      </c>
    </row>
    <row r="2" spans="1:10" x14ac:dyDescent="0.3">
      <c r="A2" s="3" t="s">
        <v>1</v>
      </c>
      <c r="B2" s="20">
        <v>1000</v>
      </c>
      <c r="C2" s="5">
        <f>B2*(1+C3)</f>
        <v>1450</v>
      </c>
      <c r="D2" s="5">
        <f t="shared" ref="D2:F2" si="0">C2*(1+D3)</f>
        <v>1957.5000000000002</v>
      </c>
      <c r="E2" s="5">
        <f t="shared" si="0"/>
        <v>2446.8750000000005</v>
      </c>
      <c r="F2" s="5">
        <f t="shared" si="0"/>
        <v>2936.2500000000005</v>
      </c>
      <c r="H2" s="32" t="s">
        <v>36</v>
      </c>
      <c r="I2" s="32"/>
    </row>
    <row r="3" spans="1:10" x14ac:dyDescent="0.3">
      <c r="A3" s="3" t="s">
        <v>3</v>
      </c>
      <c r="B3" s="21">
        <v>0.6</v>
      </c>
      <c r="C3" s="21">
        <v>0.45</v>
      </c>
      <c r="D3" s="21">
        <v>0.35</v>
      </c>
      <c r="E3" s="21">
        <v>0.25</v>
      </c>
      <c r="F3" s="21">
        <v>0.2</v>
      </c>
      <c r="H3" s="32"/>
      <c r="I3" s="32"/>
    </row>
    <row r="4" spans="1:10" ht="28.2" x14ac:dyDescent="0.3">
      <c r="A4" s="4" t="s">
        <v>2</v>
      </c>
      <c r="B4" s="22">
        <v>4000</v>
      </c>
      <c r="C4" s="6">
        <f>B4*(1+0.03)</f>
        <v>4120</v>
      </c>
      <c r="D4" s="6">
        <f t="shared" ref="D4:F4" si="1">C4*(1+0.03)</f>
        <v>4243.6000000000004</v>
      </c>
      <c r="E4" s="6">
        <f t="shared" si="1"/>
        <v>4370.9080000000004</v>
      </c>
      <c r="F4" s="6">
        <f t="shared" si="1"/>
        <v>4502.0352400000002</v>
      </c>
    </row>
    <row r="5" spans="1:10" x14ac:dyDescent="0.3">
      <c r="A5" s="15" t="s">
        <v>4</v>
      </c>
      <c r="B5" s="16">
        <f>B2*B4</f>
        <v>4000000</v>
      </c>
      <c r="C5" s="16">
        <f>C2*C4</f>
        <v>5974000</v>
      </c>
      <c r="D5" s="16">
        <f t="shared" ref="D5:F5" si="2">D2*D4</f>
        <v>8306847.0000000019</v>
      </c>
      <c r="E5" s="16">
        <f t="shared" si="2"/>
        <v>10695065.512500003</v>
      </c>
      <c r="F5" s="16">
        <f t="shared" si="2"/>
        <v>13219100.973450003</v>
      </c>
    </row>
    <row r="7" spans="1:10" x14ac:dyDescent="0.3">
      <c r="A7" s="8" t="s">
        <v>37</v>
      </c>
      <c r="B7" s="8">
        <v>2024</v>
      </c>
      <c r="C7" s="8">
        <v>2025</v>
      </c>
      <c r="D7" s="8">
        <v>2026</v>
      </c>
      <c r="E7" s="8">
        <v>2027</v>
      </c>
      <c r="F7" s="8">
        <v>2028</v>
      </c>
      <c r="G7" s="1"/>
      <c r="H7" s="1"/>
      <c r="I7" s="1"/>
      <c r="J7" s="1"/>
    </row>
    <row r="8" spans="1:10" x14ac:dyDescent="0.3">
      <c r="A8" s="1" t="s">
        <v>38</v>
      </c>
      <c r="B8" s="34">
        <v>0.25</v>
      </c>
      <c r="C8" s="35">
        <f>B8-0.01</f>
        <v>0.24</v>
      </c>
      <c r="D8" s="35">
        <f t="shared" ref="D8:F8" si="3">C8-0.01</f>
        <v>0.22999999999999998</v>
      </c>
      <c r="E8" s="35">
        <f t="shared" si="3"/>
        <v>0.21999999999999997</v>
      </c>
      <c r="F8" s="35">
        <f t="shared" si="3"/>
        <v>0.20999999999999996</v>
      </c>
      <c r="G8" s="1"/>
      <c r="H8" s="1"/>
      <c r="I8" s="1"/>
      <c r="J8" s="1"/>
    </row>
    <row r="9" spans="1:10" x14ac:dyDescent="0.3">
      <c r="A9" s="1" t="s">
        <v>39</v>
      </c>
      <c r="B9" s="34">
        <v>0.18</v>
      </c>
      <c r="C9" s="35">
        <f>B9-0.01</f>
        <v>0.16999999999999998</v>
      </c>
      <c r="D9" s="35">
        <f t="shared" ref="D9:F9" si="4">C9-0.01</f>
        <v>0.15999999999999998</v>
      </c>
      <c r="E9" s="35">
        <f t="shared" si="4"/>
        <v>0.14999999999999997</v>
      </c>
      <c r="F9" s="35">
        <f t="shared" si="4"/>
        <v>0.13999999999999996</v>
      </c>
      <c r="G9" s="1"/>
      <c r="H9" s="1"/>
      <c r="I9" s="1"/>
      <c r="J9" s="1"/>
    </row>
    <row r="10" spans="1:10" x14ac:dyDescent="0.3">
      <c r="A10" s="31"/>
      <c r="B10" s="31"/>
      <c r="C10" s="31"/>
      <c r="D10" s="31"/>
      <c r="E10" s="31"/>
      <c r="F10" s="31"/>
      <c r="G10" s="1"/>
      <c r="H10" s="1"/>
      <c r="I10" s="1"/>
      <c r="J10" s="1"/>
    </row>
    <row r="11" spans="1:10" x14ac:dyDescent="0.3">
      <c r="A11" s="29" t="s">
        <v>40</v>
      </c>
      <c r="B11" s="30">
        <v>45</v>
      </c>
      <c r="C11" s="29">
        <f>B11-1</f>
        <v>44</v>
      </c>
      <c r="D11" s="29">
        <f t="shared" ref="D11:F11" si="5">C11-1</f>
        <v>43</v>
      </c>
      <c r="E11" s="29">
        <f t="shared" si="5"/>
        <v>42</v>
      </c>
      <c r="F11" s="29">
        <f t="shared" si="5"/>
        <v>41</v>
      </c>
      <c r="G11" s="1"/>
      <c r="H11" s="1"/>
      <c r="I11" s="1"/>
      <c r="J11" s="1"/>
    </row>
    <row r="12" spans="1:10" x14ac:dyDescent="0.3">
      <c r="A12" s="1" t="s">
        <v>41</v>
      </c>
      <c r="B12" s="24">
        <v>30</v>
      </c>
      <c r="C12" s="1">
        <v>30</v>
      </c>
      <c r="D12" s="1">
        <v>30</v>
      </c>
      <c r="E12" s="1">
        <v>30</v>
      </c>
      <c r="F12" s="1">
        <v>30</v>
      </c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mergeCells count="1">
    <mergeCell ref="H2:I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5ECC-A3E4-45B6-9EB8-16E9DD11703C}">
  <dimension ref="A1:I11"/>
  <sheetViews>
    <sheetView zoomScale="130" zoomScaleNormal="130" workbookViewId="0">
      <selection activeCell="B7" sqref="B7"/>
    </sheetView>
  </sheetViews>
  <sheetFormatPr defaultRowHeight="14.4" x14ac:dyDescent="0.3"/>
  <cols>
    <col min="1" max="1" width="14.44140625" bestFit="1" customWidth="1"/>
    <col min="8" max="8" width="9.44140625" customWidth="1"/>
    <col min="9" max="9" width="9.3320312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  <c r="G1" s="1"/>
      <c r="H1" s="1"/>
      <c r="I1" s="1"/>
    </row>
    <row r="2" spans="1:9" x14ac:dyDescent="0.3">
      <c r="A2" s="1" t="s">
        <v>5</v>
      </c>
      <c r="B2" s="25">
        <f>Drivers!B5</f>
        <v>4000000</v>
      </c>
      <c r="C2" s="25">
        <f>Drivers!C5</f>
        <v>5974000</v>
      </c>
      <c r="D2" s="25">
        <f>Drivers!D5</f>
        <v>8306847.0000000019</v>
      </c>
      <c r="E2" s="25">
        <f>Drivers!E5</f>
        <v>10695065.512500003</v>
      </c>
      <c r="F2" s="25">
        <f>Drivers!F5</f>
        <v>13219100.973450003</v>
      </c>
      <c r="G2" s="1"/>
      <c r="H2" s="33" t="s">
        <v>15</v>
      </c>
      <c r="I2" s="33"/>
    </row>
    <row r="3" spans="1:9" x14ac:dyDescent="0.3">
      <c r="A3" s="1" t="s">
        <v>6</v>
      </c>
      <c r="B3" s="25">
        <f>-B2*0.2</f>
        <v>-800000</v>
      </c>
      <c r="C3" s="25">
        <f t="shared" ref="C3:F3" si="0">-C2*0.2</f>
        <v>-1194800</v>
      </c>
      <c r="D3" s="25">
        <f t="shared" si="0"/>
        <v>-1661369.4000000004</v>
      </c>
      <c r="E3" s="25">
        <f t="shared" si="0"/>
        <v>-2139013.1025000005</v>
      </c>
      <c r="F3" s="25">
        <f t="shared" si="0"/>
        <v>-2643820.1946900007</v>
      </c>
      <c r="G3" s="1"/>
      <c r="H3" s="33"/>
      <c r="I3" s="33"/>
    </row>
    <row r="4" spans="1:9" x14ac:dyDescent="0.3">
      <c r="A4" s="9" t="s">
        <v>7</v>
      </c>
      <c r="B4" s="26">
        <f>B2+B3</f>
        <v>3200000</v>
      </c>
      <c r="C4" s="26">
        <f t="shared" ref="C4:F4" si="1">C2+C3</f>
        <v>4779200</v>
      </c>
      <c r="D4" s="26">
        <f t="shared" si="1"/>
        <v>6645477.6000000015</v>
      </c>
      <c r="E4" s="26">
        <f t="shared" si="1"/>
        <v>8556052.410000002</v>
      </c>
      <c r="F4" s="26">
        <f t="shared" si="1"/>
        <v>10575280.778760003</v>
      </c>
      <c r="G4" s="1"/>
      <c r="H4" s="33"/>
      <c r="I4" s="33"/>
    </row>
    <row r="5" spans="1:9" x14ac:dyDescent="0.3">
      <c r="A5" s="1" t="s">
        <v>8</v>
      </c>
      <c r="B5" s="25">
        <f>-Drivers!B8*IncomeStmt!B$2</f>
        <v>-1000000</v>
      </c>
      <c r="C5" s="25">
        <f>-Drivers!C8*IncomeStmt!C$2</f>
        <v>-1433760</v>
      </c>
      <c r="D5" s="25">
        <f>-Drivers!D8*IncomeStmt!D$2</f>
        <v>-1910574.8100000003</v>
      </c>
      <c r="E5" s="25">
        <f>-Drivers!E8*IncomeStmt!E$2</f>
        <v>-2352914.4127500006</v>
      </c>
      <c r="F5" s="25">
        <f>-Drivers!F8*IncomeStmt!F$2</f>
        <v>-2776011.2044245</v>
      </c>
      <c r="G5" s="1"/>
      <c r="H5" s="32" t="s">
        <v>36</v>
      </c>
      <c r="I5" s="32"/>
    </row>
    <row r="6" spans="1:9" x14ac:dyDescent="0.3">
      <c r="A6" s="1" t="s">
        <v>9</v>
      </c>
      <c r="B6" s="25">
        <f>-Drivers!B$9*IncomeStmt!B$2</f>
        <v>-720000</v>
      </c>
      <c r="C6" s="25">
        <f>-Drivers!C$9*IncomeStmt!C$2</f>
        <v>-1015579.9999999999</v>
      </c>
      <c r="D6" s="25">
        <f>-Drivers!D$9*IncomeStmt!D$2</f>
        <v>-1329095.52</v>
      </c>
      <c r="E6" s="25">
        <f>-Drivers!E$9*IncomeStmt!E$2</f>
        <v>-1604259.826875</v>
      </c>
      <c r="F6" s="25">
        <f>-Drivers!F$9*IncomeStmt!F$2</f>
        <v>-1850674.136283</v>
      </c>
      <c r="G6" s="1"/>
      <c r="H6" s="32"/>
      <c r="I6" s="32"/>
    </row>
    <row r="7" spans="1:9" x14ac:dyDescent="0.3">
      <c r="A7" s="9" t="s">
        <v>10</v>
      </c>
      <c r="B7" s="26">
        <f>B4+B5+B6</f>
        <v>1480000</v>
      </c>
      <c r="C7" s="26">
        <f t="shared" ref="C7:F7" si="2">C4+C5+C6</f>
        <v>2329860</v>
      </c>
      <c r="D7" s="26">
        <f t="shared" si="2"/>
        <v>3405807.2700000009</v>
      </c>
      <c r="E7" s="26">
        <f t="shared" si="2"/>
        <v>4598878.1703750016</v>
      </c>
      <c r="F7" s="26">
        <f t="shared" si="2"/>
        <v>5948595.4380525025</v>
      </c>
      <c r="G7" s="1"/>
      <c r="H7" s="1"/>
      <c r="I7" s="1"/>
    </row>
    <row r="8" spans="1:9" x14ac:dyDescent="0.3">
      <c r="A8" s="1" t="s">
        <v>11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1"/>
      <c r="H8" s="1"/>
      <c r="I8" s="1"/>
    </row>
    <row r="9" spans="1:9" x14ac:dyDescent="0.3">
      <c r="A9" s="9" t="s">
        <v>12</v>
      </c>
      <c r="B9" s="26">
        <f>B7-B8</f>
        <v>1480000</v>
      </c>
      <c r="C9" s="26">
        <f t="shared" ref="C9:F9" si="3">C7-C8</f>
        <v>2329860</v>
      </c>
      <c r="D9" s="26">
        <f t="shared" si="3"/>
        <v>3405807.2700000009</v>
      </c>
      <c r="E9" s="26">
        <f t="shared" si="3"/>
        <v>4598878.1703750016</v>
      </c>
      <c r="F9" s="26">
        <f t="shared" si="3"/>
        <v>5948595.4380525025</v>
      </c>
      <c r="G9" s="1"/>
      <c r="H9" s="1"/>
      <c r="I9" s="1"/>
    </row>
    <row r="10" spans="1:9" x14ac:dyDescent="0.3">
      <c r="A10" s="1" t="s">
        <v>13</v>
      </c>
      <c r="B10" s="25">
        <f>-MAX(0, B9)*0.25</f>
        <v>-370000</v>
      </c>
      <c r="C10" s="25">
        <f t="shared" ref="C10:F10" si="4">-MAX(0, C9)*0.25</f>
        <v>-582465</v>
      </c>
      <c r="D10" s="25">
        <f t="shared" si="4"/>
        <v>-851451.81750000024</v>
      </c>
      <c r="E10" s="25">
        <f t="shared" si="4"/>
        <v>-1149719.5425937504</v>
      </c>
      <c r="F10" s="25">
        <f t="shared" si="4"/>
        <v>-1487148.8595131256</v>
      </c>
      <c r="G10" s="1"/>
      <c r="H10" s="1"/>
      <c r="I10" s="1"/>
    </row>
    <row r="11" spans="1:9" x14ac:dyDescent="0.3">
      <c r="A11" s="11" t="s">
        <v>14</v>
      </c>
      <c r="B11" s="28">
        <f>B9+B10</f>
        <v>1110000</v>
      </c>
      <c r="C11" s="28">
        <f t="shared" ref="C11:F11" si="5">C9+C10</f>
        <v>1747395</v>
      </c>
      <c r="D11" s="28">
        <f t="shared" si="5"/>
        <v>2554355.4525000006</v>
      </c>
      <c r="E11" s="28">
        <f t="shared" si="5"/>
        <v>3449158.6277812514</v>
      </c>
      <c r="F11" s="28">
        <f t="shared" si="5"/>
        <v>4461446.5785393771</v>
      </c>
      <c r="G11" s="1"/>
      <c r="H11" s="1"/>
      <c r="I11" s="1"/>
    </row>
  </sheetData>
  <mergeCells count="2">
    <mergeCell ref="H2:I4"/>
    <mergeCell ref="H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2DD2-3DB8-420C-9C9E-3AC934E3B339}">
  <dimension ref="A1:I8"/>
  <sheetViews>
    <sheetView zoomScale="130" zoomScaleNormal="130" workbookViewId="0">
      <selection activeCell="F11" sqref="F11"/>
    </sheetView>
  </sheetViews>
  <sheetFormatPr defaultRowHeight="14.4" x14ac:dyDescent="0.3"/>
  <cols>
    <col min="1" max="1" width="18.109375" bestFit="1" customWidth="1"/>
    <col min="8" max="8" width="10" customWidth="1"/>
    <col min="9" max="9" width="10.21875" customWidth="1"/>
  </cols>
  <sheetData>
    <row r="1" spans="1:9" x14ac:dyDescent="0.3">
      <c r="A1" s="12" t="s">
        <v>0</v>
      </c>
      <c r="B1" s="12">
        <v>2024</v>
      </c>
      <c r="C1" s="12">
        <v>2025</v>
      </c>
      <c r="D1" s="12">
        <v>2026</v>
      </c>
      <c r="E1" s="12">
        <v>2027</v>
      </c>
      <c r="F1" s="12">
        <v>2028</v>
      </c>
    </row>
    <row r="2" spans="1:9" x14ac:dyDescent="0.3">
      <c r="A2" s="1" t="s">
        <v>16</v>
      </c>
      <c r="B2" s="23">
        <v>100000</v>
      </c>
      <c r="C2" s="7">
        <f>CashFlow!B14</f>
        <v>1015446.5753424657</v>
      </c>
      <c r="D2" s="7">
        <f>CashFlow!C14</f>
        <v>2542728.3178082192</v>
      </c>
      <c r="E2" s="7">
        <f>CashFlow!D14</f>
        <v>4884291.9361986313</v>
      </c>
      <c r="F2" s="7">
        <f>CashFlow!E14</f>
        <v>8120721.3157038549</v>
      </c>
      <c r="H2" s="33" t="s">
        <v>23</v>
      </c>
      <c r="I2" s="33"/>
    </row>
    <row r="3" spans="1:9" x14ac:dyDescent="0.3">
      <c r="A3" s="1" t="s">
        <v>17</v>
      </c>
      <c r="B3" s="7">
        <f>IncomeStmt!B$2/365*Drivers!B$11</f>
        <v>493150.68493150681</v>
      </c>
      <c r="C3" s="7">
        <f>IncomeStmt!C$2/365*Drivers!C$11</f>
        <v>720153.42465753423</v>
      </c>
      <c r="D3" s="7">
        <f>IncomeStmt!D$2/365*Drivers!D$11</f>
        <v>978614.85205479467</v>
      </c>
      <c r="E3" s="7">
        <f>IncomeStmt!E$2/365*Drivers!E$11</f>
        <v>1230665.0726712332</v>
      </c>
      <c r="F3" s="7">
        <f>IncomeStmt!F$2/365*Drivers!F$11</f>
        <v>1484885.3148258908</v>
      </c>
      <c r="H3" s="33"/>
      <c r="I3" s="33"/>
    </row>
    <row r="4" spans="1:9" x14ac:dyDescent="0.3">
      <c r="A4" s="1" t="s">
        <v>18</v>
      </c>
      <c r="B4" s="23">
        <v>50000</v>
      </c>
      <c r="C4" s="23">
        <v>50000</v>
      </c>
      <c r="D4" s="23">
        <v>50000</v>
      </c>
      <c r="E4" s="23">
        <v>50000</v>
      </c>
      <c r="F4" s="23">
        <v>50000</v>
      </c>
      <c r="H4" s="33"/>
      <c r="I4" s="33"/>
    </row>
    <row r="5" spans="1:9" x14ac:dyDescent="0.3">
      <c r="A5" s="9" t="s">
        <v>19</v>
      </c>
      <c r="B5" s="10">
        <f>B2+B3+B4</f>
        <v>643150.68493150687</v>
      </c>
      <c r="C5" s="10">
        <f t="shared" ref="C5:F5" si="0">C2+C3+C4</f>
        <v>1785600</v>
      </c>
      <c r="D5" s="10">
        <f t="shared" si="0"/>
        <v>3571343.169863014</v>
      </c>
      <c r="E5" s="10">
        <f t="shared" si="0"/>
        <v>6164957.008869864</v>
      </c>
      <c r="F5" s="10">
        <f t="shared" si="0"/>
        <v>9655606.6305297464</v>
      </c>
      <c r="H5" s="32" t="s">
        <v>36</v>
      </c>
      <c r="I5" s="32"/>
    </row>
    <row r="6" spans="1:9" x14ac:dyDescent="0.3">
      <c r="A6" s="1" t="s">
        <v>20</v>
      </c>
      <c r="B6" s="7">
        <f>-(IncomeStmt!B$3/365)*Drivers!B$12</f>
        <v>65753.42465753424</v>
      </c>
      <c r="C6" s="7">
        <f>-(IncomeStmt!C$3/365)*Drivers!C$12</f>
        <v>98202.739726027401</v>
      </c>
      <c r="D6" s="7">
        <f>-(IncomeStmt!D$3/365)*Drivers!D$12</f>
        <v>136550.90958904114</v>
      </c>
      <c r="E6" s="7">
        <f>-(IncomeStmt!E$3/365)*Drivers!E$12</f>
        <v>175809.29609589043</v>
      </c>
      <c r="F6" s="7">
        <f>-(IncomeStmt!F$3/365)*Drivers!F$12</f>
        <v>217300.28997452062</v>
      </c>
      <c r="H6" s="32"/>
      <c r="I6" s="32"/>
    </row>
    <row r="7" spans="1:9" x14ac:dyDescent="0.3">
      <c r="A7" s="1" t="s">
        <v>21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9" x14ac:dyDescent="0.3">
      <c r="A8" s="9" t="s">
        <v>22</v>
      </c>
      <c r="B8" s="10">
        <f>B5-B6-B7</f>
        <v>577397.26027397264</v>
      </c>
      <c r="C8" s="10">
        <f t="shared" ref="C8:F8" si="1">C5-C6-C7</f>
        <v>1687397.2602739725</v>
      </c>
      <c r="D8" s="10">
        <f t="shared" si="1"/>
        <v>3434792.260273973</v>
      </c>
      <c r="E8" s="10">
        <f t="shared" si="1"/>
        <v>5989147.7127739741</v>
      </c>
      <c r="F8" s="10">
        <f t="shared" si="1"/>
        <v>9438306.3405552264</v>
      </c>
    </row>
  </sheetData>
  <mergeCells count="2">
    <mergeCell ref="H2:I4"/>
    <mergeCell ref="H5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6CC7-2521-4F6D-948B-FFC016BA21BF}">
  <dimension ref="A1:I16"/>
  <sheetViews>
    <sheetView tabSelected="1" zoomScale="130" zoomScaleNormal="130" workbookViewId="0">
      <selection activeCell="H17" sqref="H17"/>
    </sheetView>
  </sheetViews>
  <sheetFormatPr defaultRowHeight="14.4" x14ac:dyDescent="0.3"/>
  <cols>
    <col min="1" max="1" width="20" customWidth="1"/>
    <col min="8" max="8" width="9.6640625" customWidth="1"/>
    <col min="9" max="9" width="9.88671875" customWidth="1"/>
  </cols>
  <sheetData>
    <row r="1" spans="1:9" x14ac:dyDescent="0.3">
      <c r="A1" s="17" t="s">
        <v>0</v>
      </c>
      <c r="B1" s="8">
        <v>2024</v>
      </c>
      <c r="C1" s="8">
        <v>2025</v>
      </c>
      <c r="D1" s="8">
        <v>2026</v>
      </c>
      <c r="E1" s="8">
        <v>2027</v>
      </c>
      <c r="F1" s="8">
        <v>2028</v>
      </c>
    </row>
    <row r="2" spans="1:9" x14ac:dyDescent="0.3">
      <c r="A2" s="2" t="s">
        <v>14</v>
      </c>
      <c r="B2" s="25">
        <f>IncomeStmt!B11</f>
        <v>1110000</v>
      </c>
      <c r="C2" s="25">
        <f>IncomeStmt!C11</f>
        <v>1747395</v>
      </c>
      <c r="D2" s="25">
        <f>IncomeStmt!D11</f>
        <v>2554355.4525000006</v>
      </c>
      <c r="E2" s="25">
        <f>IncomeStmt!E11</f>
        <v>3449158.6277812514</v>
      </c>
      <c r="F2" s="25">
        <f>IncomeStmt!F11</f>
        <v>4461446.5785393771</v>
      </c>
      <c r="H2" s="33" t="s">
        <v>23</v>
      </c>
      <c r="I2" s="33"/>
    </row>
    <row r="3" spans="1:9" ht="28.2" x14ac:dyDescent="0.3">
      <c r="A3" s="2" t="s">
        <v>24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H3" s="33"/>
      <c r="I3" s="33"/>
    </row>
    <row r="4" spans="1:9" x14ac:dyDescent="0.3">
      <c r="A4" s="2" t="s">
        <v>26</v>
      </c>
      <c r="B4" s="25">
        <f>-1*(BalanceSheet!C3-BalanceSheet!B3)</f>
        <v>-227002.73972602742</v>
      </c>
      <c r="C4" s="25">
        <f>-1*(BalanceSheet!D3-BalanceSheet!C3)</f>
        <v>-258461.42739726044</v>
      </c>
      <c r="D4" s="25">
        <f>-1*(BalanceSheet!E3-BalanceSheet!D3)</f>
        <v>-252050.22061643854</v>
      </c>
      <c r="E4" s="25">
        <f>-1*(BalanceSheet!F3-BalanceSheet!E3)</f>
        <v>-254220.24215465761</v>
      </c>
      <c r="F4" s="25">
        <f>-1*(BalanceSheet!G3-BalanceSheet!F3)</f>
        <v>1484885.3148258908</v>
      </c>
      <c r="H4" s="33"/>
      <c r="I4" s="33"/>
    </row>
    <row r="5" spans="1:9" x14ac:dyDescent="0.3">
      <c r="A5" s="2" t="s">
        <v>25</v>
      </c>
      <c r="B5" s="25">
        <f>BalanceSheet!C6-BalanceSheet!B6</f>
        <v>32449.315068493161</v>
      </c>
      <c r="C5" s="25">
        <f>BalanceSheet!D6-BalanceSheet!C6</f>
        <v>38348.16986301374</v>
      </c>
      <c r="D5" s="25">
        <f>BalanceSheet!E6-BalanceSheet!D6</f>
        <v>39258.386506849289</v>
      </c>
      <c r="E5" s="25">
        <f>BalanceSheet!F6-BalanceSheet!E6</f>
        <v>41490.993878630194</v>
      </c>
      <c r="F5" s="25">
        <f>BalanceSheet!G6-BalanceSheet!F6</f>
        <v>-217300.28997452062</v>
      </c>
      <c r="H5" s="32" t="s">
        <v>36</v>
      </c>
      <c r="I5" s="32"/>
    </row>
    <row r="6" spans="1:9" x14ac:dyDescent="0.3">
      <c r="A6" s="19" t="s">
        <v>27</v>
      </c>
      <c r="B6" s="26">
        <f>SUM(B2:B5)</f>
        <v>915446.57534246566</v>
      </c>
      <c r="C6" s="26">
        <f t="shared" ref="C6:F6" si="0">SUM(C2:C5)</f>
        <v>1527281.7424657533</v>
      </c>
      <c r="D6" s="26">
        <f t="shared" si="0"/>
        <v>2341563.6183904116</v>
      </c>
      <c r="E6" s="26">
        <f t="shared" si="0"/>
        <v>3236429.3795052236</v>
      </c>
      <c r="F6" s="26">
        <f t="shared" si="0"/>
        <v>5729031.6033907467</v>
      </c>
      <c r="H6" s="32"/>
      <c r="I6" s="32"/>
    </row>
    <row r="7" spans="1:9" ht="28.2" x14ac:dyDescent="0.3">
      <c r="A7" s="2" t="s">
        <v>28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</row>
    <row r="8" spans="1:9" x14ac:dyDescent="0.3">
      <c r="A8" s="19" t="s">
        <v>29</v>
      </c>
      <c r="B8" s="26">
        <f>B7</f>
        <v>0</v>
      </c>
      <c r="C8" s="26">
        <f t="shared" ref="C8:F8" si="1">C7</f>
        <v>0</v>
      </c>
      <c r="D8" s="26">
        <f t="shared" si="1"/>
        <v>0</v>
      </c>
      <c r="E8" s="26">
        <f t="shared" si="1"/>
        <v>0</v>
      </c>
      <c r="F8" s="26">
        <f t="shared" si="1"/>
        <v>0</v>
      </c>
    </row>
    <row r="9" spans="1:9" x14ac:dyDescent="0.3">
      <c r="A9" s="2" t="s">
        <v>30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</row>
    <row r="10" spans="1:9" x14ac:dyDescent="0.3">
      <c r="A10" s="2" t="s">
        <v>31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</row>
    <row r="11" spans="1:9" x14ac:dyDescent="0.3">
      <c r="A11" s="19" t="s">
        <v>32</v>
      </c>
      <c r="B11" s="26">
        <f>B9+B10</f>
        <v>0</v>
      </c>
      <c r="C11" s="26">
        <f t="shared" ref="C11:F11" si="2">C9+C10</f>
        <v>0</v>
      </c>
      <c r="D11" s="26">
        <f t="shared" si="2"/>
        <v>0</v>
      </c>
      <c r="E11" s="26">
        <f t="shared" si="2"/>
        <v>0</v>
      </c>
      <c r="F11" s="26">
        <f t="shared" si="2"/>
        <v>0</v>
      </c>
    </row>
    <row r="12" spans="1:9" x14ac:dyDescent="0.3">
      <c r="A12" s="2" t="s">
        <v>33</v>
      </c>
      <c r="B12" s="25">
        <f>SUM(B6,B8,B11)</f>
        <v>915446.57534246566</v>
      </c>
      <c r="C12" s="25">
        <f t="shared" ref="C12:F12" si="3">SUM(C6,C8,C11)</f>
        <v>1527281.7424657533</v>
      </c>
      <c r="D12" s="25">
        <f t="shared" si="3"/>
        <v>2341563.6183904116</v>
      </c>
      <c r="E12" s="25">
        <f t="shared" si="3"/>
        <v>3236429.3795052236</v>
      </c>
      <c r="F12" s="25">
        <f t="shared" si="3"/>
        <v>5729031.6033907467</v>
      </c>
    </row>
    <row r="13" spans="1:9" x14ac:dyDescent="0.3">
      <c r="A13" s="2" t="s">
        <v>34</v>
      </c>
      <c r="B13" s="25">
        <f>BalanceSheet!B2</f>
        <v>100000</v>
      </c>
      <c r="C13" s="25">
        <f>BalanceSheet!C2</f>
        <v>1015446.5753424657</v>
      </c>
      <c r="D13" s="25">
        <f>BalanceSheet!D2</f>
        <v>2542728.3178082192</v>
      </c>
      <c r="E13" s="25">
        <f>BalanceSheet!E2</f>
        <v>4884291.9361986313</v>
      </c>
      <c r="F13" s="25">
        <f>BalanceSheet!F2</f>
        <v>8120721.3157038549</v>
      </c>
    </row>
    <row r="14" spans="1:9" x14ac:dyDescent="0.3">
      <c r="A14" s="18" t="s">
        <v>35</v>
      </c>
      <c r="B14" s="28">
        <f>B13+B12</f>
        <v>1015446.5753424657</v>
      </c>
      <c r="C14" s="28">
        <f t="shared" ref="C14:F14" si="4">C13+C12</f>
        <v>2542728.3178082192</v>
      </c>
      <c r="D14" s="28">
        <f t="shared" si="4"/>
        <v>4884291.9361986313</v>
      </c>
      <c r="E14" s="28">
        <f t="shared" si="4"/>
        <v>8120721.3157038549</v>
      </c>
      <c r="F14" s="28">
        <f t="shared" si="4"/>
        <v>13849752.919094602</v>
      </c>
    </row>
    <row r="16" spans="1:9" x14ac:dyDescent="0.3">
      <c r="A16" s="18" t="s">
        <v>42</v>
      </c>
      <c r="B16" s="28">
        <f>B6-B7</f>
        <v>915446.57534246566</v>
      </c>
      <c r="C16" s="28">
        <f>C6-C7</f>
        <v>1527281.7424657533</v>
      </c>
      <c r="D16" s="28">
        <f>D6-D7</f>
        <v>2341563.6183904116</v>
      </c>
      <c r="E16" s="28">
        <f>E6-E7</f>
        <v>3236429.3795052236</v>
      </c>
      <c r="F16" s="28">
        <f>F6-F7</f>
        <v>5729031.6033907467</v>
      </c>
    </row>
  </sheetData>
  <mergeCells count="2">
    <mergeCell ref="H2:I4"/>
    <mergeCell ref="H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</vt:lpstr>
      <vt:lpstr>IncomeStmt</vt:lpstr>
      <vt:lpstr>BalanceSheet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Duran</dc:creator>
  <cp:lastModifiedBy>Lucas Duran</cp:lastModifiedBy>
  <dcterms:created xsi:type="dcterms:W3CDTF">2025-06-03T15:59:22Z</dcterms:created>
  <dcterms:modified xsi:type="dcterms:W3CDTF">2025-06-10T01:30:04Z</dcterms:modified>
</cp:coreProperties>
</file>