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as\quant-summer-2025\SaaSV\"/>
    </mc:Choice>
  </mc:AlternateContent>
  <xr:revisionPtr revIDLastSave="0" documentId="13_ncr:1_{A035AD9F-B10C-45D6-99AD-E9ACC8BACA29}" xr6:coauthVersionLast="47" xr6:coauthVersionMax="47" xr10:uidLastSave="{00000000-0000-0000-0000-000000000000}"/>
  <bookViews>
    <workbookView xWindow="-108" yWindow="-108" windowWidth="23256" windowHeight="13176" xr2:uid="{270BAFE9-F160-4EC3-8ED5-C7005A9C532B}"/>
  </bookViews>
  <sheets>
    <sheet name="Drivers" sheetId="1" r:id="rId1"/>
    <sheet name="IncomeStmt" sheetId="2" r:id="rId2"/>
    <sheet name="BalanceSheet" sheetId="3" r:id="rId3"/>
    <sheet name="CashFlow" sheetId="4" r:id="rId4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4" l="1"/>
  <c r="C13" i="4"/>
  <c r="C2" i="3"/>
  <c r="C5" i="3" s="1"/>
  <c r="C8" i="3" s="1"/>
  <c r="C8" i="4"/>
  <c r="D8" i="4"/>
  <c r="E8" i="4"/>
  <c r="F8" i="4"/>
  <c r="C2" i="4"/>
  <c r="D2" i="4"/>
  <c r="E2" i="4"/>
  <c r="F2" i="4"/>
  <c r="C4" i="4"/>
  <c r="D4" i="4"/>
  <c r="E4" i="4"/>
  <c r="F4" i="4"/>
  <c r="C5" i="4"/>
  <c r="D5" i="4"/>
  <c r="E5" i="4"/>
  <c r="F5" i="4"/>
  <c r="C6" i="4"/>
  <c r="C12" i="4" s="1"/>
  <c r="C14" i="4" s="1"/>
  <c r="D6" i="4"/>
  <c r="D12" i="4" s="1"/>
  <c r="E6" i="4"/>
  <c r="E12" i="4" s="1"/>
  <c r="F6" i="4"/>
  <c r="F12" i="4" s="1"/>
  <c r="C11" i="4"/>
  <c r="D11" i="4"/>
  <c r="E11" i="4"/>
  <c r="F11" i="4"/>
  <c r="B14" i="4"/>
  <c r="B13" i="4"/>
  <c r="B12" i="4"/>
  <c r="B11" i="4"/>
  <c r="B8" i="4"/>
  <c r="B4" i="4"/>
  <c r="B6" i="4" s="1"/>
  <c r="B5" i="4"/>
  <c r="B2" i="4"/>
  <c r="C3" i="3"/>
  <c r="D3" i="3"/>
  <c r="E3" i="3"/>
  <c r="F3" i="3"/>
  <c r="C6" i="3"/>
  <c r="D6" i="3"/>
  <c r="E6" i="3"/>
  <c r="F6" i="3"/>
  <c r="B8" i="3"/>
  <c r="B6" i="3"/>
  <c r="B5" i="3"/>
  <c r="B3" i="3"/>
  <c r="B11" i="2"/>
  <c r="C9" i="2"/>
  <c r="D9" i="2"/>
  <c r="E9" i="2"/>
  <c r="E10" i="2" s="1"/>
  <c r="F9" i="2"/>
  <c r="F10" i="2"/>
  <c r="F11" i="2" s="1"/>
  <c r="B10" i="2"/>
  <c r="B9" i="2"/>
  <c r="C7" i="2"/>
  <c r="D7" i="2"/>
  <c r="E7" i="2"/>
  <c r="F7" i="2"/>
  <c r="B7" i="2"/>
  <c r="C6" i="2"/>
  <c r="D6" i="2"/>
  <c r="E6" i="2"/>
  <c r="F6" i="2"/>
  <c r="B6" i="2"/>
  <c r="C5" i="2"/>
  <c r="D5" i="2"/>
  <c r="E5" i="2"/>
  <c r="F5" i="2"/>
  <c r="B5" i="2"/>
  <c r="C4" i="2"/>
  <c r="D4" i="2"/>
  <c r="E4" i="2"/>
  <c r="F4" i="2"/>
  <c r="B4" i="2"/>
  <c r="C3" i="2"/>
  <c r="D3" i="2"/>
  <c r="E3" i="2"/>
  <c r="F3" i="2"/>
  <c r="B3" i="2"/>
  <c r="C2" i="2"/>
  <c r="D2" i="2"/>
  <c r="E2" i="2"/>
  <c r="F2" i="2"/>
  <c r="B2" i="2"/>
  <c r="D2" i="3" l="1"/>
  <c r="D5" i="3" s="1"/>
  <c r="D8" i="3" s="1"/>
  <c r="D14" i="4"/>
  <c r="D10" i="2"/>
  <c r="D11" i="2" s="1"/>
  <c r="E11" i="2"/>
  <c r="C10" i="2"/>
  <c r="C11" i="2" s="1"/>
  <c r="F5" i="1"/>
  <c r="D4" i="1"/>
  <c r="E4" i="1" s="1"/>
  <c r="F4" i="1" s="1"/>
  <c r="C4" i="1"/>
  <c r="F2" i="1"/>
  <c r="E2" i="3" l="1"/>
  <c r="C2" i="1"/>
  <c r="C5" i="1" s="1"/>
  <c r="B5" i="1"/>
  <c r="E5" i="3" l="1"/>
  <c r="E8" i="3" s="1"/>
  <c r="E13" i="4"/>
  <c r="E14" i="4" s="1"/>
  <c r="F2" i="3" s="1"/>
  <c r="D2" i="1"/>
  <c r="E2" i="1" s="1"/>
  <c r="E5" i="1" s="1"/>
  <c r="F5" i="3" l="1"/>
  <c r="F8" i="3" s="1"/>
  <c r="F13" i="4"/>
  <c r="F14" i="4" s="1"/>
  <c r="D5" i="1"/>
</calcChain>
</file>

<file path=xl/sharedStrings.xml><?xml version="1.0" encoding="utf-8"?>
<sst xmlns="http://schemas.openxmlformats.org/spreadsheetml/2006/main" count="45" uniqueCount="37">
  <si>
    <t>Line Item</t>
  </si>
  <si>
    <t># Customers (beginning)</t>
  </si>
  <si>
    <t>Average Revenue per Customer ($)</t>
  </si>
  <si>
    <t>Growth Rate (%)</t>
  </si>
  <si>
    <t>Total Revenue (in $000´s)</t>
  </si>
  <si>
    <t>Revenue</t>
  </si>
  <si>
    <t>COGS</t>
  </si>
  <si>
    <t>Gross Profit</t>
  </si>
  <si>
    <t>SG&amp;A</t>
  </si>
  <si>
    <t>R&amp;D</t>
  </si>
  <si>
    <t>EBIT</t>
  </si>
  <si>
    <t>Interest Expense</t>
  </si>
  <si>
    <t>Pre-Tax Income</t>
  </si>
  <si>
    <t>Tax Expense</t>
  </si>
  <si>
    <t>Net Income</t>
  </si>
  <si>
    <t>All Numbers in 000´s</t>
  </si>
  <si>
    <t>Cash</t>
  </si>
  <si>
    <t>Accounts Receivable</t>
  </si>
  <si>
    <t>Net PP&amp;E</t>
  </si>
  <si>
    <t>Total Assets</t>
  </si>
  <si>
    <t>Accounts Payable</t>
  </si>
  <si>
    <t>Long-Term Debt</t>
  </si>
  <si>
    <t>Common Equity</t>
  </si>
  <si>
    <t>All numbers in $000´s</t>
  </si>
  <si>
    <t>Depreciation &amp; Amortization</t>
  </si>
  <si>
    <t>∆ Accounts Payable</t>
  </si>
  <si>
    <t>∆ Accounts Receivable</t>
  </si>
  <si>
    <t>Operating Cash Flow</t>
  </si>
  <si>
    <t>Capital Expenditures (CapEx)</t>
  </si>
  <si>
    <t>Investing Cash Flow</t>
  </si>
  <si>
    <t>Debt Issued (Repaid)</t>
  </si>
  <si>
    <t>Equity Issued</t>
  </si>
  <si>
    <t>Financing Cash Flow</t>
  </si>
  <si>
    <t>Net Change in Cash</t>
  </si>
  <si>
    <t>Beggining Cash</t>
  </si>
  <si>
    <t>Ending Cash</t>
  </si>
  <si>
    <t>Blue Cells = 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</si>
</sst>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7" formatCode="&quot;$&quot;#,##0.00"/>
    <numFmt numFmtId="170" formatCode="&quot;$&quot;#,##0,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1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70" fontId="2" fillId="0" borderId="0" xfId="0" applyNumberFormat="1" applyFont="1"/>
    <xf numFmtId="0" fontId="3" fillId="2" borderId="0" xfId="0" applyFont="1" applyFill="1" applyAlignment="1">
      <alignment horizontal="center" vertical="center"/>
    </xf>
    <xf numFmtId="0" fontId="3" fillId="3" borderId="1" xfId="0" applyFont="1" applyFill="1" applyBorder="1"/>
    <xf numFmtId="0" fontId="4" fillId="3" borderId="1" xfId="0" applyFont="1" applyFill="1" applyBorder="1"/>
    <xf numFmtId="170" fontId="4" fillId="3" borderId="1" xfId="0" applyNumberFormat="1" applyFont="1" applyFill="1" applyBorder="1"/>
    <xf numFmtId="0" fontId="5" fillId="3" borderId="1" xfId="0" applyFont="1" applyFill="1" applyBorder="1"/>
    <xf numFmtId="170" fontId="5" fillId="3" borderId="1" xfId="0" applyNumberFormat="1" applyFont="1" applyFill="1" applyBorder="1"/>
    <xf numFmtId="0" fontId="3" fillId="3" borderId="0" xfId="0" applyFont="1" applyFill="1"/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left"/>
    </xf>
    <xf numFmtId="170" fontId="5" fillId="3" borderId="1" xfId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1" fontId="2" fillId="4" borderId="0" xfId="0" applyNumberFormat="1" applyFont="1" applyFill="1" applyAlignment="1">
      <alignment horizontal="center"/>
    </xf>
    <xf numFmtId="9" fontId="2" fillId="4" borderId="0" xfId="0" applyNumberFormat="1" applyFont="1" applyFill="1" applyAlignment="1">
      <alignment horizontal="center"/>
    </xf>
    <xf numFmtId="167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/>
    <xf numFmtId="0" fontId="3" fillId="4" borderId="0" xfId="0" applyFon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D110D-3FA4-49F2-A362-8303600FBB86}">
  <dimension ref="A1:I5"/>
  <sheetViews>
    <sheetView tabSelected="1" zoomScale="130" zoomScaleNormal="130" workbookViewId="0">
      <selection activeCell="C10" sqref="C10"/>
    </sheetView>
  </sheetViews>
  <sheetFormatPr defaultRowHeight="14.4" x14ac:dyDescent="0.3"/>
  <cols>
    <col min="1" max="1" width="22.5546875" bestFit="1" customWidth="1"/>
    <col min="2" max="4" width="14.109375" bestFit="1" customWidth="1"/>
    <col min="5" max="6" width="15.109375" bestFit="1" customWidth="1"/>
  </cols>
  <sheetData>
    <row r="1" spans="1:9" x14ac:dyDescent="0.3">
      <c r="A1" s="15" t="s">
        <v>0</v>
      </c>
      <c r="B1" s="16">
        <v>2024</v>
      </c>
      <c r="C1" s="16">
        <v>2025</v>
      </c>
      <c r="D1" s="16">
        <v>2026</v>
      </c>
      <c r="E1" s="16">
        <v>2027</v>
      </c>
      <c r="F1" s="16">
        <v>2028</v>
      </c>
    </row>
    <row r="2" spans="1:9" x14ac:dyDescent="0.3">
      <c r="A2" s="3" t="s">
        <v>1</v>
      </c>
      <c r="B2" s="22">
        <v>1000</v>
      </c>
      <c r="C2" s="5">
        <f>B2*(1+C3)</f>
        <v>1450</v>
      </c>
      <c r="D2" s="5">
        <f t="shared" ref="D2:F2" si="0">C2*(1+D3)</f>
        <v>1957.5000000000002</v>
      </c>
      <c r="E2" s="5">
        <f t="shared" si="0"/>
        <v>2446.8750000000005</v>
      </c>
      <c r="F2" s="5">
        <f t="shared" si="0"/>
        <v>2936.2500000000005</v>
      </c>
      <c r="H2" s="26" t="s">
        <v>36</v>
      </c>
      <c r="I2" s="26"/>
    </row>
    <row r="3" spans="1:9" x14ac:dyDescent="0.3">
      <c r="A3" s="3" t="s">
        <v>3</v>
      </c>
      <c r="B3" s="23">
        <v>0.6</v>
      </c>
      <c r="C3" s="23">
        <v>0.45</v>
      </c>
      <c r="D3" s="23">
        <v>0.35</v>
      </c>
      <c r="E3" s="23">
        <v>0.25</v>
      </c>
      <c r="F3" s="23">
        <v>0.2</v>
      </c>
      <c r="H3" s="26"/>
      <c r="I3" s="26"/>
    </row>
    <row r="4" spans="1:9" ht="28.2" x14ac:dyDescent="0.3">
      <c r="A4" s="4" t="s">
        <v>2</v>
      </c>
      <c r="B4" s="24">
        <v>4000</v>
      </c>
      <c r="C4" s="6">
        <f>B4*(1+0.03)</f>
        <v>4120</v>
      </c>
      <c r="D4" s="6">
        <f t="shared" ref="D4:F4" si="1">C4*(1+0.03)</f>
        <v>4243.6000000000004</v>
      </c>
      <c r="E4" s="6">
        <f t="shared" si="1"/>
        <v>4370.9080000000004</v>
      </c>
      <c r="F4" s="6">
        <f t="shared" si="1"/>
        <v>4502.0352400000002</v>
      </c>
    </row>
    <row r="5" spans="1:9" x14ac:dyDescent="0.3">
      <c r="A5" s="17" t="s">
        <v>4</v>
      </c>
      <c r="B5" s="18">
        <f>B2*B4</f>
        <v>4000000</v>
      </c>
      <c r="C5" s="18">
        <f>C2*C4</f>
        <v>5974000</v>
      </c>
      <c r="D5" s="18">
        <f t="shared" ref="D5:F5" si="2">D2*D4</f>
        <v>8306847.0000000019</v>
      </c>
      <c r="E5" s="18">
        <f t="shared" si="2"/>
        <v>10695065.512500003</v>
      </c>
      <c r="F5" s="18">
        <f t="shared" si="2"/>
        <v>13219100.973450003</v>
      </c>
    </row>
  </sheetData>
  <mergeCells count="1">
    <mergeCell ref="H2:I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5ECC-A3E4-45B6-9EB8-16E9DD11703C}">
  <dimension ref="A1:I11"/>
  <sheetViews>
    <sheetView zoomScale="130" zoomScaleNormal="130" workbookViewId="0">
      <selection activeCell="G14" sqref="G14"/>
    </sheetView>
  </sheetViews>
  <sheetFormatPr defaultRowHeight="14.4" x14ac:dyDescent="0.3"/>
  <cols>
    <col min="1" max="1" width="14.44140625" bestFit="1" customWidth="1"/>
    <col min="8" max="8" width="9.44140625" customWidth="1"/>
    <col min="9" max="9" width="9.33203125" customWidth="1"/>
  </cols>
  <sheetData>
    <row r="1" spans="1:9" x14ac:dyDescent="0.3">
      <c r="A1" s="14" t="s">
        <v>0</v>
      </c>
      <c r="B1" s="14">
        <v>2024</v>
      </c>
      <c r="C1" s="14">
        <v>2025</v>
      </c>
      <c r="D1" s="14">
        <v>2026</v>
      </c>
      <c r="E1" s="14">
        <v>2027</v>
      </c>
      <c r="F1" s="14">
        <v>2028</v>
      </c>
      <c r="G1" s="1"/>
      <c r="H1" s="1"/>
      <c r="I1" s="1"/>
    </row>
    <row r="2" spans="1:9" x14ac:dyDescent="0.3">
      <c r="A2" s="1" t="s">
        <v>5</v>
      </c>
      <c r="B2" s="7">
        <f>Drivers!B5</f>
        <v>4000000</v>
      </c>
      <c r="C2" s="7">
        <f>Drivers!C5</f>
        <v>5974000</v>
      </c>
      <c r="D2" s="7">
        <f>Drivers!D5</f>
        <v>8306847.0000000019</v>
      </c>
      <c r="E2" s="7">
        <f>Drivers!E5</f>
        <v>10695065.512500003</v>
      </c>
      <c r="F2" s="7">
        <f>Drivers!F5</f>
        <v>13219100.973450003</v>
      </c>
      <c r="G2" s="1"/>
      <c r="H2" s="8" t="s">
        <v>15</v>
      </c>
      <c r="I2" s="8"/>
    </row>
    <row r="3" spans="1:9" x14ac:dyDescent="0.3">
      <c r="A3" s="1" t="s">
        <v>6</v>
      </c>
      <c r="B3" s="7">
        <f>-B2*0.2</f>
        <v>-800000</v>
      </c>
      <c r="C3" s="7">
        <f t="shared" ref="C3:F3" si="0">-C2*0.2</f>
        <v>-1194800</v>
      </c>
      <c r="D3" s="7">
        <f t="shared" si="0"/>
        <v>-1661369.4000000004</v>
      </c>
      <c r="E3" s="7">
        <f t="shared" si="0"/>
        <v>-2139013.1025000005</v>
      </c>
      <c r="F3" s="7">
        <f t="shared" si="0"/>
        <v>-2643820.1946900007</v>
      </c>
      <c r="G3" s="1"/>
      <c r="H3" s="8"/>
      <c r="I3" s="8"/>
    </row>
    <row r="4" spans="1:9" x14ac:dyDescent="0.3">
      <c r="A4" s="10" t="s">
        <v>7</v>
      </c>
      <c r="B4" s="11">
        <f>B2+B3</f>
        <v>3200000</v>
      </c>
      <c r="C4" s="11">
        <f t="shared" ref="C4:F4" si="1">C2+C3</f>
        <v>4779200</v>
      </c>
      <c r="D4" s="11">
        <f t="shared" si="1"/>
        <v>6645477.6000000015</v>
      </c>
      <c r="E4" s="11">
        <f t="shared" si="1"/>
        <v>8556052.410000002</v>
      </c>
      <c r="F4" s="11">
        <f t="shared" si="1"/>
        <v>10575280.778760003</v>
      </c>
      <c r="G4" s="1"/>
      <c r="H4" s="8"/>
      <c r="I4" s="8"/>
    </row>
    <row r="5" spans="1:9" x14ac:dyDescent="0.3">
      <c r="A5" s="1" t="s">
        <v>8</v>
      </c>
      <c r="B5" s="7">
        <f>-B2*0.15</f>
        <v>-600000</v>
      </c>
      <c r="C5" s="7">
        <f t="shared" ref="C5:F5" si="2">-C2*0.15</f>
        <v>-896100</v>
      </c>
      <c r="D5" s="7">
        <f t="shared" si="2"/>
        <v>-1246027.0500000003</v>
      </c>
      <c r="E5" s="7">
        <f t="shared" si="2"/>
        <v>-1604259.8268750005</v>
      </c>
      <c r="F5" s="7">
        <f t="shared" si="2"/>
        <v>-1982865.1460175004</v>
      </c>
      <c r="G5" s="1"/>
      <c r="H5" s="26" t="s">
        <v>36</v>
      </c>
      <c r="I5" s="26"/>
    </row>
    <row r="6" spans="1:9" x14ac:dyDescent="0.3">
      <c r="A6" s="1" t="s">
        <v>9</v>
      </c>
      <c r="B6" s="7">
        <f>-B2*0.1</f>
        <v>-400000</v>
      </c>
      <c r="C6" s="7">
        <f t="shared" ref="C6:F6" si="3">-C2*0.1</f>
        <v>-597400</v>
      </c>
      <c r="D6" s="7">
        <f t="shared" si="3"/>
        <v>-830684.70000000019</v>
      </c>
      <c r="E6" s="7">
        <f t="shared" si="3"/>
        <v>-1069506.5512500003</v>
      </c>
      <c r="F6" s="7">
        <f t="shared" si="3"/>
        <v>-1321910.0973450004</v>
      </c>
      <c r="G6" s="1"/>
      <c r="H6" s="26"/>
      <c r="I6" s="26"/>
    </row>
    <row r="7" spans="1:9" x14ac:dyDescent="0.3">
      <c r="A7" s="10" t="s">
        <v>10</v>
      </c>
      <c r="B7" s="11">
        <f>B4+B5+B6</f>
        <v>2200000</v>
      </c>
      <c r="C7" s="11">
        <f t="shared" ref="C7:F7" si="4">C4+C5+C6</f>
        <v>3285700</v>
      </c>
      <c r="D7" s="11">
        <f t="shared" si="4"/>
        <v>4568765.8500000006</v>
      </c>
      <c r="E7" s="11">
        <f t="shared" si="4"/>
        <v>5882286.0318750013</v>
      </c>
      <c r="F7" s="11">
        <f t="shared" si="4"/>
        <v>7270505.5353975017</v>
      </c>
      <c r="G7" s="1"/>
      <c r="H7" s="1"/>
      <c r="I7" s="1"/>
    </row>
    <row r="8" spans="1:9" x14ac:dyDescent="0.3">
      <c r="A8" s="1" t="s">
        <v>11</v>
      </c>
      <c r="B8" s="25">
        <v>0</v>
      </c>
      <c r="C8" s="25">
        <v>0</v>
      </c>
      <c r="D8" s="25">
        <v>0</v>
      </c>
      <c r="E8" s="25">
        <v>0</v>
      </c>
      <c r="F8" s="25">
        <v>0</v>
      </c>
      <c r="G8" s="1"/>
      <c r="H8" s="1"/>
      <c r="I8" s="1"/>
    </row>
    <row r="9" spans="1:9" x14ac:dyDescent="0.3">
      <c r="A9" s="10" t="s">
        <v>12</v>
      </c>
      <c r="B9" s="11">
        <f>B7-B8</f>
        <v>2200000</v>
      </c>
      <c r="C9" s="11">
        <f t="shared" ref="C9:F9" si="5">C7-C8</f>
        <v>3285700</v>
      </c>
      <c r="D9" s="11">
        <f t="shared" si="5"/>
        <v>4568765.8500000006</v>
      </c>
      <c r="E9" s="11">
        <f t="shared" si="5"/>
        <v>5882286.0318750013</v>
      </c>
      <c r="F9" s="11">
        <f t="shared" si="5"/>
        <v>7270505.5353975017</v>
      </c>
      <c r="G9" s="1"/>
      <c r="H9" s="1"/>
      <c r="I9" s="1"/>
    </row>
    <row r="10" spans="1:9" x14ac:dyDescent="0.3">
      <c r="A10" s="1" t="s">
        <v>13</v>
      </c>
      <c r="B10" s="7">
        <f>-MAX(0, B9)*0.25</f>
        <v>-550000</v>
      </c>
      <c r="C10" s="7">
        <f t="shared" ref="C10:F10" si="6">-MAX(0, C9)*0.25</f>
        <v>-821425</v>
      </c>
      <c r="D10" s="7">
        <f t="shared" si="6"/>
        <v>-1142191.4625000001</v>
      </c>
      <c r="E10" s="7">
        <f t="shared" si="6"/>
        <v>-1470571.5079687503</v>
      </c>
      <c r="F10" s="7">
        <f t="shared" si="6"/>
        <v>-1817626.3838493754</v>
      </c>
      <c r="G10" s="1"/>
      <c r="H10" s="1"/>
      <c r="I10" s="1"/>
    </row>
    <row r="11" spans="1:9" x14ac:dyDescent="0.3">
      <c r="A11" s="12" t="s">
        <v>14</v>
      </c>
      <c r="B11" s="13">
        <f>B9+B10</f>
        <v>1650000</v>
      </c>
      <c r="C11" s="13">
        <f t="shared" ref="C11:F11" si="7">C9+C10</f>
        <v>2464275</v>
      </c>
      <c r="D11" s="13">
        <f t="shared" si="7"/>
        <v>3426574.3875000002</v>
      </c>
      <c r="E11" s="13">
        <f t="shared" si="7"/>
        <v>4411714.5239062514</v>
      </c>
      <c r="F11" s="13">
        <f t="shared" si="7"/>
        <v>5452879.1515481267</v>
      </c>
      <c r="G11" s="1"/>
      <c r="H11" s="1"/>
      <c r="I11" s="1"/>
    </row>
  </sheetData>
  <mergeCells count="2">
    <mergeCell ref="H2:I4"/>
    <mergeCell ref="H5:I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22DD2-3DB8-420C-9C9E-3AC934E3B339}">
  <dimension ref="A1:I8"/>
  <sheetViews>
    <sheetView zoomScale="130" zoomScaleNormal="130" workbookViewId="0">
      <selection activeCell="H5" sqref="H5:I6"/>
    </sheetView>
  </sheetViews>
  <sheetFormatPr defaultRowHeight="14.4" x14ac:dyDescent="0.3"/>
  <cols>
    <col min="1" max="1" width="18.109375" bestFit="1" customWidth="1"/>
    <col min="8" max="8" width="10" customWidth="1"/>
    <col min="9" max="9" width="10.21875" customWidth="1"/>
  </cols>
  <sheetData>
    <row r="1" spans="1:9" x14ac:dyDescent="0.3">
      <c r="A1" s="14" t="s">
        <v>0</v>
      </c>
      <c r="B1" s="14">
        <v>2024</v>
      </c>
      <c r="C1" s="14">
        <v>2025</v>
      </c>
      <c r="D1" s="14">
        <v>2026</v>
      </c>
      <c r="E1" s="14">
        <v>2027</v>
      </c>
      <c r="F1" s="14">
        <v>2028</v>
      </c>
    </row>
    <row r="2" spans="1:9" x14ac:dyDescent="0.3">
      <c r="A2" s="1" t="s">
        <v>16</v>
      </c>
      <c r="B2" s="25">
        <v>100000</v>
      </c>
      <c r="C2" s="7">
        <f>CashFlow!B14</f>
        <v>1609386.3013698631</v>
      </c>
      <c r="D2" s="7">
        <f>CashFlow!C14</f>
        <v>3907485.8986301371</v>
      </c>
      <c r="E2" s="7">
        <f>CashFlow!D14</f>
        <v>7163940.6112671234</v>
      </c>
      <c r="F2" s="7">
        <f>CashFlow!E14</f>
        <v>11395860.828365978</v>
      </c>
      <c r="H2" s="8" t="s">
        <v>23</v>
      </c>
      <c r="I2" s="8"/>
    </row>
    <row r="3" spans="1:9" x14ac:dyDescent="0.3">
      <c r="A3" s="1" t="s">
        <v>17</v>
      </c>
      <c r="B3" s="7">
        <f>(Drivers!B5/365)*30</f>
        <v>328767.12328767125</v>
      </c>
      <c r="C3" s="7">
        <f>(Drivers!C5/365)*30</f>
        <v>491013.69863013696</v>
      </c>
      <c r="D3" s="7">
        <f>(Drivers!D5/365)*30</f>
        <v>682754.54794520559</v>
      </c>
      <c r="E3" s="7">
        <f>(Drivers!E5/365)*30</f>
        <v>879046.48047945229</v>
      </c>
      <c r="F3" s="7">
        <f>(Drivers!F5/365)*30</f>
        <v>1086501.4498726029</v>
      </c>
      <c r="H3" s="8"/>
      <c r="I3" s="8"/>
    </row>
    <row r="4" spans="1:9" x14ac:dyDescent="0.3">
      <c r="A4" s="1" t="s">
        <v>18</v>
      </c>
      <c r="B4" s="25">
        <v>50000</v>
      </c>
      <c r="C4" s="25">
        <v>50000</v>
      </c>
      <c r="D4" s="25">
        <v>50000</v>
      </c>
      <c r="E4" s="25">
        <v>50000</v>
      </c>
      <c r="F4" s="25">
        <v>50000</v>
      </c>
      <c r="H4" s="8"/>
      <c r="I4" s="8"/>
    </row>
    <row r="5" spans="1:9" x14ac:dyDescent="0.3">
      <c r="A5" s="10" t="s">
        <v>19</v>
      </c>
      <c r="B5" s="11">
        <f>B2+B3+B4</f>
        <v>478767.12328767125</v>
      </c>
      <c r="C5" s="11">
        <f t="shared" ref="C5:F5" si="0">C2+C3+C4</f>
        <v>2150400</v>
      </c>
      <c r="D5" s="11">
        <f t="shared" si="0"/>
        <v>4640240.4465753427</v>
      </c>
      <c r="E5" s="11">
        <f t="shared" si="0"/>
        <v>8092987.0917465761</v>
      </c>
      <c r="F5" s="11">
        <f t="shared" si="0"/>
        <v>12532362.278238581</v>
      </c>
      <c r="H5" s="26" t="s">
        <v>36</v>
      </c>
      <c r="I5" s="26"/>
    </row>
    <row r="6" spans="1:9" x14ac:dyDescent="0.3">
      <c r="A6" s="1" t="s">
        <v>20</v>
      </c>
      <c r="B6" s="7">
        <f>-(IncomeStmt!B3/365)*20</f>
        <v>43835.616438356163</v>
      </c>
      <c r="C6" s="7">
        <f>-(IncomeStmt!C3/365)*20</f>
        <v>65468.493150684939</v>
      </c>
      <c r="D6" s="7">
        <f>-(IncomeStmt!D3/365)*20</f>
        <v>91033.939726027427</v>
      </c>
      <c r="E6" s="7">
        <f>-(IncomeStmt!E3/365)*20</f>
        <v>117206.19739726029</v>
      </c>
      <c r="F6" s="7">
        <f>-(IncomeStmt!F3/365)*20</f>
        <v>144866.85998301374</v>
      </c>
      <c r="H6" s="26"/>
      <c r="I6" s="26"/>
    </row>
    <row r="7" spans="1:9" x14ac:dyDescent="0.3">
      <c r="A7" s="1" t="s">
        <v>21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</row>
    <row r="8" spans="1:9" x14ac:dyDescent="0.3">
      <c r="A8" s="10" t="s">
        <v>22</v>
      </c>
      <c r="B8" s="11">
        <f>B5-B6-B7</f>
        <v>434931.50684931508</v>
      </c>
      <c r="C8" s="11">
        <f t="shared" ref="C8:F8" si="1">C5-C6-C7</f>
        <v>2084931.506849315</v>
      </c>
      <c r="D8" s="11">
        <f t="shared" si="1"/>
        <v>4549206.506849315</v>
      </c>
      <c r="E8" s="11">
        <f t="shared" si="1"/>
        <v>7975780.8943493161</v>
      </c>
      <c r="F8" s="11">
        <f t="shared" si="1"/>
        <v>12387495.418255568</v>
      </c>
    </row>
  </sheetData>
  <mergeCells count="2">
    <mergeCell ref="H2:I4"/>
    <mergeCell ref="H5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56CC7-2521-4F6D-948B-FFC016BA21BF}">
  <dimension ref="A1:I14"/>
  <sheetViews>
    <sheetView zoomScale="130" zoomScaleNormal="130" workbookViewId="0">
      <selection activeCell="H5" sqref="H5:I6"/>
    </sheetView>
  </sheetViews>
  <sheetFormatPr defaultRowHeight="14.4" x14ac:dyDescent="0.3"/>
  <cols>
    <col min="1" max="1" width="20" customWidth="1"/>
    <col min="8" max="8" width="9.6640625" customWidth="1"/>
    <col min="9" max="9" width="9.88671875" customWidth="1"/>
  </cols>
  <sheetData>
    <row r="1" spans="1:9" x14ac:dyDescent="0.3">
      <c r="A1" s="19" t="s">
        <v>0</v>
      </c>
      <c r="B1" s="9">
        <v>2024</v>
      </c>
      <c r="C1" s="9">
        <v>2025</v>
      </c>
      <c r="D1" s="9">
        <v>2026</v>
      </c>
      <c r="E1" s="9">
        <v>2027</v>
      </c>
      <c r="F1" s="9">
        <v>2028</v>
      </c>
    </row>
    <row r="2" spans="1:9" x14ac:dyDescent="0.3">
      <c r="A2" s="2" t="s">
        <v>14</v>
      </c>
      <c r="B2" s="7">
        <f>IncomeStmt!B11</f>
        <v>1650000</v>
      </c>
      <c r="C2" s="7">
        <f>IncomeStmt!C11</f>
        <v>2464275</v>
      </c>
      <c r="D2" s="7">
        <f>IncomeStmt!D11</f>
        <v>3426574.3875000002</v>
      </c>
      <c r="E2" s="7">
        <f>IncomeStmt!E11</f>
        <v>4411714.5239062514</v>
      </c>
      <c r="F2" s="7">
        <f>IncomeStmt!F11</f>
        <v>5452879.1515481267</v>
      </c>
      <c r="H2" s="8" t="s">
        <v>23</v>
      </c>
      <c r="I2" s="8"/>
    </row>
    <row r="3" spans="1:9" ht="28.2" x14ac:dyDescent="0.3">
      <c r="A3" s="2" t="s">
        <v>24</v>
      </c>
      <c r="B3" s="25">
        <v>0</v>
      </c>
      <c r="C3" s="25">
        <v>0</v>
      </c>
      <c r="D3" s="25">
        <v>0</v>
      </c>
      <c r="E3" s="25">
        <v>0</v>
      </c>
      <c r="F3" s="25">
        <v>0</v>
      </c>
      <c r="H3" s="8"/>
      <c r="I3" s="8"/>
    </row>
    <row r="4" spans="1:9" x14ac:dyDescent="0.3">
      <c r="A4" s="2" t="s">
        <v>26</v>
      </c>
      <c r="B4" s="7">
        <f>-1*(BalanceSheet!C3-BalanceSheet!B3)</f>
        <v>-162246.57534246572</v>
      </c>
      <c r="C4" s="7">
        <f>-1*(BalanceSheet!D3-BalanceSheet!C3)</f>
        <v>-191740.84931506863</v>
      </c>
      <c r="D4" s="7">
        <f>-1*(BalanceSheet!E3-BalanceSheet!D3)</f>
        <v>-196291.93253424671</v>
      </c>
      <c r="E4" s="7">
        <f>-1*(BalanceSheet!F3-BalanceSheet!E3)</f>
        <v>-207454.96939315065</v>
      </c>
      <c r="F4" s="7">
        <f>-1*(BalanceSheet!G3-BalanceSheet!F3)</f>
        <v>1086501.4498726029</v>
      </c>
      <c r="H4" s="8"/>
      <c r="I4" s="8"/>
    </row>
    <row r="5" spans="1:9" x14ac:dyDescent="0.3">
      <c r="A5" s="2" t="s">
        <v>25</v>
      </c>
      <c r="B5" s="7">
        <f>BalanceSheet!C6-BalanceSheet!B6</f>
        <v>21632.876712328776</v>
      </c>
      <c r="C5" s="7">
        <f>BalanceSheet!D6-BalanceSheet!C6</f>
        <v>25565.446575342488</v>
      </c>
      <c r="D5" s="7">
        <f>BalanceSheet!E6-BalanceSheet!D6</f>
        <v>26172.257671232859</v>
      </c>
      <c r="E5" s="7">
        <f>BalanceSheet!F6-BalanceSheet!E6</f>
        <v>27660.662585753453</v>
      </c>
      <c r="F5" s="7">
        <f>BalanceSheet!G6-BalanceSheet!F6</f>
        <v>-144866.85998301374</v>
      </c>
      <c r="H5" s="26" t="s">
        <v>36</v>
      </c>
      <c r="I5" s="26"/>
    </row>
    <row r="6" spans="1:9" x14ac:dyDescent="0.3">
      <c r="A6" s="21" t="s">
        <v>27</v>
      </c>
      <c r="B6" s="11">
        <f>SUM(B2:B5)</f>
        <v>1509386.3013698631</v>
      </c>
      <c r="C6" s="11">
        <f t="shared" ref="C6:F6" si="0">SUM(C2:C5)</f>
        <v>2298099.597260274</v>
      </c>
      <c r="D6" s="11">
        <f t="shared" si="0"/>
        <v>3256454.7126369863</v>
      </c>
      <c r="E6" s="11">
        <f t="shared" si="0"/>
        <v>4231920.2170988536</v>
      </c>
      <c r="F6" s="11">
        <f t="shared" si="0"/>
        <v>6394513.7414377155</v>
      </c>
      <c r="H6" s="26"/>
      <c r="I6" s="26"/>
    </row>
    <row r="7" spans="1:9" ht="28.2" x14ac:dyDescent="0.3">
      <c r="A7" s="2" t="s">
        <v>28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</row>
    <row r="8" spans="1:9" x14ac:dyDescent="0.3">
      <c r="A8" s="21" t="s">
        <v>29</v>
      </c>
      <c r="B8" s="11">
        <f>B7</f>
        <v>0</v>
      </c>
      <c r="C8" s="11">
        <f t="shared" ref="C8:F8" si="1">C7</f>
        <v>0</v>
      </c>
      <c r="D8" s="11">
        <f t="shared" si="1"/>
        <v>0</v>
      </c>
      <c r="E8" s="11">
        <f t="shared" si="1"/>
        <v>0</v>
      </c>
      <c r="F8" s="11">
        <f t="shared" si="1"/>
        <v>0</v>
      </c>
    </row>
    <row r="9" spans="1:9" x14ac:dyDescent="0.3">
      <c r="A9" s="2" t="s">
        <v>30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</row>
    <row r="10" spans="1:9" x14ac:dyDescent="0.3">
      <c r="A10" s="2" t="s">
        <v>31</v>
      </c>
      <c r="B10" s="25">
        <v>0</v>
      </c>
      <c r="C10" s="25">
        <v>0</v>
      </c>
      <c r="D10" s="25">
        <v>0</v>
      </c>
      <c r="E10" s="25">
        <v>0</v>
      </c>
      <c r="F10" s="25">
        <v>0</v>
      </c>
    </row>
    <row r="11" spans="1:9" x14ac:dyDescent="0.3">
      <c r="A11" s="21" t="s">
        <v>32</v>
      </c>
      <c r="B11" s="11">
        <f>B9+B10</f>
        <v>0</v>
      </c>
      <c r="C11" s="11">
        <f t="shared" ref="C11:F11" si="2">C9+C10</f>
        <v>0</v>
      </c>
      <c r="D11" s="11">
        <f t="shared" si="2"/>
        <v>0</v>
      </c>
      <c r="E11" s="11">
        <f t="shared" si="2"/>
        <v>0</v>
      </c>
      <c r="F11" s="11">
        <f t="shared" si="2"/>
        <v>0</v>
      </c>
    </row>
    <row r="12" spans="1:9" x14ac:dyDescent="0.3">
      <c r="A12" s="2" t="s">
        <v>33</v>
      </c>
      <c r="B12" s="7">
        <f>SUM(B6,B8,B11)</f>
        <v>1509386.3013698631</v>
      </c>
      <c r="C12" s="7">
        <f t="shared" ref="C12:F12" si="3">SUM(C6,C8,C11)</f>
        <v>2298099.597260274</v>
      </c>
      <c r="D12" s="7">
        <f t="shared" si="3"/>
        <v>3256454.7126369863</v>
      </c>
      <c r="E12" s="7">
        <f t="shared" si="3"/>
        <v>4231920.2170988536</v>
      </c>
      <c r="F12" s="7">
        <f t="shared" si="3"/>
        <v>6394513.7414377155</v>
      </c>
    </row>
    <row r="13" spans="1:9" x14ac:dyDescent="0.3">
      <c r="A13" s="2" t="s">
        <v>34</v>
      </c>
      <c r="B13" s="7">
        <f>BalanceSheet!B2</f>
        <v>100000</v>
      </c>
      <c r="C13" s="7">
        <f>BalanceSheet!C2</f>
        <v>1609386.3013698631</v>
      </c>
      <c r="D13" s="7">
        <f>BalanceSheet!D2</f>
        <v>3907485.8986301371</v>
      </c>
      <c r="E13" s="7">
        <f>BalanceSheet!E2</f>
        <v>7163940.6112671234</v>
      </c>
      <c r="F13" s="7">
        <f>BalanceSheet!F2</f>
        <v>11395860.828365978</v>
      </c>
    </row>
    <row r="14" spans="1:9" x14ac:dyDescent="0.3">
      <c r="A14" s="20" t="s">
        <v>35</v>
      </c>
      <c r="B14" s="13">
        <f>B13+B12</f>
        <v>1609386.3013698631</v>
      </c>
      <c r="C14" s="13">
        <f t="shared" ref="C14:F14" si="4">C13+C12</f>
        <v>3907485.8986301371</v>
      </c>
      <c r="D14" s="13">
        <f t="shared" si="4"/>
        <v>7163940.6112671234</v>
      </c>
      <c r="E14" s="13">
        <f t="shared" si="4"/>
        <v>11395860.828365978</v>
      </c>
      <c r="F14" s="13">
        <f t="shared" si="4"/>
        <v>17790374.569803692</v>
      </c>
    </row>
  </sheetData>
  <mergeCells count="2">
    <mergeCell ref="H2:I4"/>
    <mergeCell ref="H5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Drivers</vt:lpstr>
      <vt:lpstr>IncomeStmt</vt:lpstr>
      <vt:lpstr>BalanceSheet</vt:lpstr>
      <vt:lpstr>CashFlow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Duran</dc:creator>
  <cp:lastModifiedBy>Lucas Duran</cp:lastModifiedBy>
  <dcterms:created xsi:type="dcterms:W3CDTF">2025-06-03T15:59:22Z</dcterms:created>
  <dcterms:modified xsi:type="dcterms:W3CDTF">2025-06-03T18:42:26Z</dcterms:modified>
</cp:coreProperties>
</file>