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lucas\valuation-model\templates\"/>
    </mc:Choice>
  </mc:AlternateContent>
  <xr:revisionPtr revIDLastSave="0" documentId="13_ncr:1_{E0CAD313-C891-41CA-8A06-D23BF5A765EB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Inputs" sheetId="1" r:id="rId1"/>
    <sheet name="Raw_FS" sheetId="2" r:id="rId2"/>
    <sheet name="DCF" sheetId="3" r:id="rId3"/>
    <sheet name="Output" sheetId="4" r:id="rId4"/>
  </sheets>
  <definedNames>
    <definedName name="capex_pct">Inputs!$B$13</definedName>
    <definedName name="current_price">DCF!$B$25</definedName>
    <definedName name="dep_pct">Inputs!$B$14</definedName>
    <definedName name="ebit_target">Inputs!$B$12</definedName>
    <definedName name="equity_value">DCF!$B$22</definedName>
    <definedName name="ev">DCF!$B$20</definedName>
    <definedName name="forecast_horizon">Inputs!$B$10</definedName>
    <definedName name="implied_price">DCF!$B$24</definedName>
    <definedName name="net_debt">DCF!$B$21</definedName>
    <definedName name="nwc_pct">Inputs!$B$15</definedName>
    <definedName name="pv_fcff_total">DCF!$B$19</definedName>
    <definedName name="sales_cagr">Inputs!$B$11</definedName>
    <definedName name="shares_out">DCF!$B$23</definedName>
    <definedName name="tax_rate">Inputs!$B$8</definedName>
    <definedName name="upside_pct">DCF!$B$26</definedName>
    <definedName name="wacc">Inputs!$B$19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5" i="4"/>
  <c r="B4" i="4"/>
  <c r="B23" i="3"/>
  <c r="B21" i="3"/>
  <c r="E10" i="3"/>
  <c r="D10" i="3"/>
  <c r="C10" i="3"/>
  <c r="B10" i="3"/>
  <c r="E9" i="3"/>
  <c r="D9" i="3"/>
  <c r="C9" i="3"/>
  <c r="B9" i="3"/>
  <c r="E7" i="3"/>
  <c r="E8" i="3" s="1"/>
  <c r="B7" i="3"/>
  <c r="B8" i="3" s="1"/>
  <c r="E6" i="3"/>
  <c r="D6" i="3"/>
  <c r="C6" i="3"/>
  <c r="C11" i="3" s="1"/>
  <c r="C13" i="3" s="1"/>
  <c r="B6" i="3"/>
  <c r="D5" i="3"/>
  <c r="D12" i="3" s="1"/>
  <c r="C5" i="3"/>
  <c r="C12" i="3" s="1"/>
  <c r="E4" i="3"/>
  <c r="D4" i="3"/>
  <c r="C4" i="3"/>
  <c r="B4" i="3"/>
  <c r="N3" i="3"/>
  <c r="M3" i="3"/>
  <c r="L3" i="3"/>
  <c r="K3" i="3"/>
  <c r="J3" i="3"/>
  <c r="E3" i="3"/>
  <c r="E5" i="3" s="1"/>
  <c r="D3" i="3"/>
  <c r="D7" i="3" s="1"/>
  <c r="D8" i="3" s="1"/>
  <c r="C3" i="3"/>
  <c r="C7" i="3" s="1"/>
  <c r="C8" i="3" s="1"/>
  <c r="B3" i="3"/>
  <c r="B5" i="3" s="1"/>
  <c r="E2" i="3"/>
  <c r="D2" i="3"/>
  <c r="C2" i="3"/>
  <c r="B2" i="3"/>
  <c r="B14" i="3" s="1"/>
  <c r="B22" i="1"/>
  <c r="B23" i="1" s="1"/>
  <c r="N12" i="3"/>
  <c r="E11" i="3" l="1"/>
  <c r="E13" i="3" s="1"/>
  <c r="E12" i="3"/>
  <c r="B12" i="3"/>
  <c r="B11" i="3"/>
  <c r="B13" i="3" s="1"/>
  <c r="J12" i="3"/>
  <c r="K12" i="3"/>
  <c r="J16" i="3"/>
  <c r="L12" i="3"/>
  <c r="J2" i="3"/>
  <c r="M12" i="3"/>
  <c r="D11" i="3"/>
  <c r="D13" i="3" s="1"/>
  <c r="J10" i="3" l="1"/>
  <c r="J9" i="3"/>
  <c r="J4" i="3"/>
  <c r="J7" i="3"/>
  <c r="K2" i="3"/>
  <c r="K9" i="3" l="1"/>
  <c r="K4" i="3"/>
  <c r="L2" i="3"/>
  <c r="K7" i="3"/>
  <c r="K10" i="3"/>
  <c r="J5" i="3"/>
  <c r="J6" i="3"/>
  <c r="J11" i="3" s="1"/>
  <c r="J13" i="3" s="1"/>
  <c r="K5" i="3" l="1"/>
  <c r="K6" i="3" s="1"/>
  <c r="K11" i="3" s="1"/>
  <c r="K13" i="3" s="1"/>
  <c r="M2" i="3"/>
  <c r="L9" i="3"/>
  <c r="L4" i="3"/>
  <c r="L7" i="3"/>
  <c r="L10" i="3"/>
  <c r="L5" i="3" l="1"/>
  <c r="L6" i="3" s="1"/>
  <c r="L11" i="3" s="1"/>
  <c r="L13" i="3" s="1"/>
  <c r="M7" i="3"/>
  <c r="N2" i="3"/>
  <c r="M10" i="3"/>
  <c r="M9" i="3"/>
  <c r="M4" i="3"/>
  <c r="M5" i="3" l="1"/>
  <c r="M6" i="3" s="1"/>
  <c r="M11" i="3" s="1"/>
  <c r="M13" i="3" s="1"/>
  <c r="N7" i="3"/>
  <c r="N10" i="3"/>
  <c r="N9" i="3"/>
  <c r="N4" i="3"/>
  <c r="N5" i="3" l="1"/>
  <c r="N6" i="3" s="1"/>
  <c r="N11" i="3" s="1"/>
  <c r="N13" i="3" l="1"/>
  <c r="B19" i="3" s="1"/>
  <c r="J14" i="3"/>
  <c r="J15" i="3" s="1"/>
  <c r="J17" i="3" s="1"/>
  <c r="B20" i="3" l="1"/>
  <c r="B22" i="3" s="1"/>
  <c r="B24" i="3" s="1"/>
  <c r="B1" i="4" l="1"/>
  <c r="B26" i="3"/>
  <c r="B3" i="4" s="1"/>
</calcChain>
</file>

<file path=xl/sharedStrings.xml><?xml version="1.0" encoding="utf-8"?>
<sst xmlns="http://schemas.openxmlformats.org/spreadsheetml/2006/main" count="87" uniqueCount="76">
  <si>
    <t>Ticker</t>
  </si>
  <si>
    <t>Currency</t>
  </si>
  <si>
    <t>Shares Outstanding (mm)</t>
  </si>
  <si>
    <t>Manual Beta</t>
  </si>
  <si>
    <t>Equity-Risk Premium</t>
  </si>
  <si>
    <t>Risk-Free Rate</t>
  </si>
  <si>
    <t>Pre-Tax Cost of Debt</t>
  </si>
  <si>
    <t>Tax Rate</t>
  </si>
  <si>
    <t>Target Debt % of Capital</t>
  </si>
  <si>
    <t>Explicit-Forecast Horizon (yrs)</t>
  </si>
  <si>
    <t>Sales CAGR Assumption</t>
  </si>
  <si>
    <t>EBIT Margin Target (Year 5)</t>
  </si>
  <si>
    <t>CapEx % of Sales</t>
  </si>
  <si>
    <t>Dep &amp; Amort % of Sales</t>
  </si>
  <si>
    <t>∆NWC % of Sales</t>
  </si>
  <si>
    <t>Terminal Growth (g)</t>
  </si>
  <si>
    <t>Exit EV/EBITDA multiple</t>
  </si>
  <si>
    <t>Margin of Safety %</t>
  </si>
  <si>
    <t>WACC</t>
  </si>
  <si>
    <t>Market Cap</t>
  </si>
  <si>
    <t>Latest EBITDA (yfinance)</t>
  </si>
  <si>
    <t>Enterprise Value</t>
  </si>
  <si>
    <t>EV/EBITDA</t>
  </si>
  <si>
    <t>2024</t>
  </si>
  <si>
    <t>2023</t>
  </si>
  <si>
    <t>2022</t>
  </si>
  <si>
    <t>2021</t>
  </si>
  <si>
    <t>revenue</t>
  </si>
  <si>
    <t>ebit</t>
  </si>
  <si>
    <t>tax</t>
  </si>
  <si>
    <t>dep_amort</t>
  </si>
  <si>
    <t>capex</t>
  </si>
  <si>
    <t>assets</t>
  </si>
  <si>
    <t>debt</t>
  </si>
  <si>
    <t>cash</t>
  </si>
  <si>
    <t>ar</t>
  </si>
  <si>
    <t>inventory</t>
  </si>
  <si>
    <t>ap</t>
  </si>
  <si>
    <t>Year-columns</t>
  </si>
  <si>
    <t>2025F</t>
  </si>
  <si>
    <t>2026F</t>
  </si>
  <si>
    <t>2027F</t>
  </si>
  <si>
    <t>2028F</t>
  </si>
  <si>
    <t>2029F</t>
  </si>
  <si>
    <t>Revenue</t>
  </si>
  <si>
    <t>Sales</t>
  </si>
  <si>
    <t>EBIT</t>
  </si>
  <si>
    <t>EBIT Margin</t>
  </si>
  <si>
    <t>NOPAT</t>
  </si>
  <si>
    <t>Tax</t>
  </si>
  <si>
    <t>Dep &amp; Amort</t>
  </si>
  <si>
    <t>EBITDA</t>
  </si>
  <si>
    <t>EBITDA Margin</t>
  </si>
  <si>
    <t>CapEx</t>
  </si>
  <si>
    <t>∆NWC</t>
  </si>
  <si>
    <t>FCFF</t>
  </si>
  <si>
    <t>ROIC</t>
  </si>
  <si>
    <t>Discount Factor</t>
  </si>
  <si>
    <t>FCF Margin</t>
  </si>
  <si>
    <t>PV of FCFF</t>
  </si>
  <si>
    <t>CAGRs</t>
  </si>
  <si>
    <t>Terminal FCFF</t>
  </si>
  <si>
    <t>TV</t>
  </si>
  <si>
    <t>PV of TV</t>
  </si>
  <si>
    <t>PV FCFF Total</t>
  </si>
  <si>
    <t>EV</t>
  </si>
  <si>
    <t>Net Debt</t>
  </si>
  <si>
    <t>Equity Value</t>
  </si>
  <si>
    <t>Shares Outstanding</t>
  </si>
  <si>
    <t>Implied Price</t>
  </si>
  <si>
    <t>Current Price</t>
  </si>
  <si>
    <t>Upside Pct</t>
  </si>
  <si>
    <t>Implied Fair Value</t>
  </si>
  <si>
    <t>Upside/(Downside)</t>
  </si>
  <si>
    <t>LT Growth (g)</t>
  </si>
  <si>
    <t>Margin of 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</si>
</sst>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#,,"/>
    <numFmt numFmtId="165" formatCode="0.0%"/>
    <numFmt numFmtId="166" formatCode="&quot;$&quot;#,###,,,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/>
  </cellStyleXfs>
  <cellXfs count="2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3" fillId="2" borderId="4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1" fillId="2" borderId="5" xfId="0" applyFont="1" applyFill="1" applyBorder="1"/>
    <xf numFmtId="0" fontId="3" fillId="0" borderId="0" xfId="0" applyFont="1"/>
    <xf numFmtId="0" fontId="0" fillId="0" borderId="0" xfId="0" applyAlignment="1">
      <alignment horizontal="centerContinuous"/>
    </xf>
    <xf numFmtId="0" fontId="3" fillId="2" borderId="1" xfId="0" applyFont="1" applyFill="1" applyBorder="1" applyAlignment="1">
      <alignment horizontal="left"/>
    </xf>
    <xf numFmtId="10" fontId="1" fillId="0" borderId="0" xfId="0" applyNumberFormat="1" applyFont="1"/>
    <xf numFmtId="1" fontId="1" fillId="0" borderId="0" xfId="0" applyNumberFormat="1" applyFont="1"/>
    <xf numFmtId="0" fontId="3" fillId="3" borderId="1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164" fontId="1" fillId="0" borderId="0" xfId="0" applyNumberFormat="1" applyFont="1"/>
    <xf numFmtId="164" fontId="3" fillId="3" borderId="0" xfId="0" applyNumberFormat="1" applyFont="1" applyFill="1"/>
    <xf numFmtId="164" fontId="3" fillId="0" borderId="0" xfId="0" applyNumberFormat="1" applyFont="1"/>
    <xf numFmtId="164" fontId="4" fillId="3" borderId="6" xfId="0" applyNumberFormat="1" applyFont="1" applyFill="1" applyBorder="1"/>
    <xf numFmtId="165" fontId="1" fillId="0" borderId="0" xfId="1" applyNumberFormat="1" applyFont="1"/>
    <xf numFmtId="10" fontId="1" fillId="0" borderId="0" xfId="1" applyNumberFormat="1" applyFont="1"/>
    <xf numFmtId="166" fontId="1" fillId="0" borderId="0" xfId="0" applyNumberFormat="1" applyFont="1"/>
    <xf numFmtId="166" fontId="1" fillId="2" borderId="3" xfId="0" applyNumberFormat="1" applyFont="1" applyFill="1" applyBorder="1"/>
    <xf numFmtId="2" fontId="1" fillId="0" borderId="0" xfId="1" applyNumberFormat="1" applyFont="1"/>
    <xf numFmtId="0" fontId="6" fillId="0" borderId="7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2">
    <dxf>
      <fill>
        <patternFill>
          <bgColor rgb="FF92D050"/>
        </patternFill>
      </fill>
    </dxf>
    <dxf>
      <fill>
        <patternFill>
          <bgColor rgb="FFE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zoomScale="115" zoomScaleNormal="115" workbookViewId="0">
      <pane xSplit="1" topLeftCell="B1" activePane="topRight" state="frozen"/>
      <selection pane="topRight" activeCell="C19" sqref="C19"/>
    </sheetView>
  </sheetViews>
  <sheetFormatPr defaultRowHeight="14.4" x14ac:dyDescent="0.3"/>
  <cols>
    <col min="1" max="1" width="29.21875" bestFit="1" customWidth="1"/>
    <col min="2" max="2" width="13.33203125" bestFit="1" customWidth="1"/>
  </cols>
  <sheetData>
    <row r="1" spans="1:17" ht="15.6" customHeight="1" x14ac:dyDescent="0.3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6" customHeight="1" x14ac:dyDescent="0.3">
      <c r="A2" s="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6" customHeight="1" x14ac:dyDescent="0.3">
      <c r="A3" s="4" t="s">
        <v>2</v>
      </c>
      <c r="B3" s="1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6" customHeight="1" x14ac:dyDescent="0.3">
      <c r="A4" s="4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.6" customHeight="1" x14ac:dyDescent="0.3">
      <c r="A5" s="4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.6" customHeight="1" x14ac:dyDescent="0.3">
      <c r="A6" s="4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.6" customHeight="1" x14ac:dyDescent="0.3">
      <c r="A7" s="4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.6" customHeight="1" x14ac:dyDescent="0.3">
      <c r="A8" s="4" t="s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.6" customHeight="1" x14ac:dyDescent="0.3">
      <c r="A9" s="4" t="s">
        <v>8</v>
      </c>
      <c r="B9" s="1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.6" customHeight="1" x14ac:dyDescent="0.3">
      <c r="A10" s="4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.6" customHeight="1" x14ac:dyDescent="0.3">
      <c r="A11" s="4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6" customHeight="1" x14ac:dyDescent="0.3">
      <c r="A12" s="4" t="s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.6" customHeight="1" x14ac:dyDescent="0.3">
      <c r="A13" s="4" t="s">
        <v>12</v>
      </c>
      <c r="B13" s="1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.6" customHeight="1" x14ac:dyDescent="0.3">
      <c r="A14" s="4" t="s">
        <v>13</v>
      </c>
      <c r="B14" s="1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.6" customHeight="1" x14ac:dyDescent="0.3">
      <c r="A15" s="4" t="s">
        <v>14</v>
      </c>
      <c r="B15" s="1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.6" customHeight="1" x14ac:dyDescent="0.3">
      <c r="A16" s="4" t="s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.6" customHeight="1" x14ac:dyDescent="0.3">
      <c r="A17" s="4" t="s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.6" customHeight="1" x14ac:dyDescent="0.3">
      <c r="A18" s="4" t="s">
        <v>17</v>
      </c>
      <c r="B18" s="1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6" customHeight="1" x14ac:dyDescent="0.3">
      <c r="A19" s="4" t="s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.6" customHeight="1" x14ac:dyDescent="0.3">
      <c r="A20" s="4" t="s">
        <v>19</v>
      </c>
      <c r="B20" s="23">
        <v>3736529010688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6" customHeight="1" x14ac:dyDescent="0.3">
      <c r="A21" s="4" t="s">
        <v>20</v>
      </c>
      <c r="B21" s="23">
        <v>149172994048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6" customHeight="1" x14ac:dyDescent="0.3">
      <c r="A22" s="4" t="s">
        <v>21</v>
      </c>
      <c r="B22" s="23">
        <f>B20+Raw_FS!B8-Raw_FS!B9</f>
        <v>3785341010688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6" customHeight="1" x14ac:dyDescent="0.3">
      <c r="A23" s="4" t="s">
        <v>22</v>
      </c>
      <c r="B23" s="25">
        <f>B22/B21</f>
        <v>25.375511397659388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6" customHeight="1" x14ac:dyDescent="0.3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6" customHeight="1" x14ac:dyDescent="0.3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6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6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6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6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6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6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6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6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6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6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6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6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6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6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6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6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6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6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6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6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6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6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6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6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6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6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6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6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/>
  </sheetViews>
  <sheetFormatPr defaultRowHeight="14.4" x14ac:dyDescent="0.3"/>
  <sheetData>
    <row r="1" spans="1:5" x14ac:dyDescent="0.3">
      <c r="B1" s="26" t="s">
        <v>23</v>
      </c>
      <c r="C1" s="26" t="s">
        <v>24</v>
      </c>
      <c r="D1" s="26" t="s">
        <v>25</v>
      </c>
      <c r="E1" s="26" t="s">
        <v>26</v>
      </c>
    </row>
    <row r="2" spans="1:5" x14ac:dyDescent="0.3">
      <c r="A2" s="26" t="s">
        <v>27</v>
      </c>
      <c r="B2">
        <v>245122000000</v>
      </c>
      <c r="C2">
        <v>211915000000</v>
      </c>
      <c r="D2">
        <v>198270000000</v>
      </c>
      <c r="E2">
        <v>168088000000</v>
      </c>
    </row>
    <row r="3" spans="1:5" x14ac:dyDescent="0.3">
      <c r="A3" s="26" t="s">
        <v>28</v>
      </c>
      <c r="B3">
        <v>110722000000</v>
      </c>
      <c r="C3">
        <v>91279000000</v>
      </c>
      <c r="D3">
        <v>85779000000</v>
      </c>
      <c r="E3">
        <v>73448000000</v>
      </c>
    </row>
    <row r="4" spans="1:5" x14ac:dyDescent="0.3">
      <c r="A4" s="26" t="s">
        <v>29</v>
      </c>
      <c r="B4">
        <v>19651000000</v>
      </c>
      <c r="C4">
        <v>16950000000</v>
      </c>
      <c r="D4">
        <v>10978000000</v>
      </c>
      <c r="E4">
        <v>9831000000</v>
      </c>
    </row>
    <row r="5" spans="1:5" x14ac:dyDescent="0.3">
      <c r="A5" s="26" t="s">
        <v>30</v>
      </c>
      <c r="B5">
        <v>22287000000</v>
      </c>
      <c r="C5">
        <v>13861000000</v>
      </c>
      <c r="D5">
        <v>14460000000</v>
      </c>
      <c r="E5">
        <v>11686000000</v>
      </c>
    </row>
    <row r="6" spans="1:5" x14ac:dyDescent="0.3">
      <c r="A6" s="26" t="s">
        <v>31</v>
      </c>
      <c r="B6">
        <v>-44477000000</v>
      </c>
      <c r="C6">
        <v>-28107000000</v>
      </c>
      <c r="D6">
        <v>-23886000000</v>
      </c>
      <c r="E6">
        <v>-20622000000</v>
      </c>
    </row>
    <row r="7" spans="1:5" x14ac:dyDescent="0.3">
      <c r="A7" s="26" t="s">
        <v>32</v>
      </c>
      <c r="B7">
        <v>512163000000</v>
      </c>
      <c r="C7">
        <v>411976000000</v>
      </c>
      <c r="D7">
        <v>364840000000</v>
      </c>
      <c r="E7">
        <v>333779000000</v>
      </c>
    </row>
    <row r="8" spans="1:5" x14ac:dyDescent="0.3">
      <c r="A8" s="26" t="s">
        <v>33</v>
      </c>
      <c r="B8">
        <v>67127000000</v>
      </c>
      <c r="C8">
        <v>59965000000</v>
      </c>
      <c r="D8">
        <v>61270000000</v>
      </c>
      <c r="E8">
        <v>67775000000</v>
      </c>
    </row>
    <row r="9" spans="1:5" x14ac:dyDescent="0.3">
      <c r="A9" s="26" t="s">
        <v>34</v>
      </c>
      <c r="B9">
        <v>18315000000</v>
      </c>
      <c r="C9">
        <v>34704000000</v>
      </c>
      <c r="D9">
        <v>13931000000</v>
      </c>
      <c r="E9">
        <v>14224000000</v>
      </c>
    </row>
    <row r="10" spans="1:5" x14ac:dyDescent="0.3">
      <c r="A10" s="26" t="s">
        <v>35</v>
      </c>
      <c r="B10">
        <v>56924000000</v>
      </c>
      <c r="C10">
        <v>48688000000</v>
      </c>
      <c r="D10">
        <v>44261000000</v>
      </c>
      <c r="E10">
        <v>38043000000</v>
      </c>
    </row>
    <row r="11" spans="1:5" x14ac:dyDescent="0.3">
      <c r="A11" s="26" t="s">
        <v>36</v>
      </c>
      <c r="B11">
        <v>1246000000</v>
      </c>
      <c r="C11">
        <v>2500000000</v>
      </c>
      <c r="D11">
        <v>3742000000</v>
      </c>
      <c r="E11">
        <v>2636000000</v>
      </c>
    </row>
    <row r="12" spans="1:5" x14ac:dyDescent="0.3">
      <c r="A12" s="26" t="s">
        <v>37</v>
      </c>
      <c r="B12">
        <v>21996000000</v>
      </c>
      <c r="C12">
        <v>18095000000</v>
      </c>
      <c r="D12">
        <v>19000000000</v>
      </c>
      <c r="E12">
        <v>15163000000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6"/>
  <sheetViews>
    <sheetView tabSelected="1" zoomScaleNormal="100" workbookViewId="0">
      <selection activeCell="E10" sqref="E10"/>
    </sheetView>
  </sheetViews>
  <sheetFormatPr defaultRowHeight="14.4" x14ac:dyDescent="0.3"/>
  <cols>
    <col min="1" max="1" width="19" bestFit="1" customWidth="1"/>
    <col min="2" max="5" width="9.33203125" bestFit="1" customWidth="1"/>
    <col min="6" max="6" width="9" bestFit="1" customWidth="1"/>
    <col min="7" max="7" width="10.33203125" customWidth="1"/>
    <col min="8" max="8" width="9" bestFit="1" customWidth="1"/>
    <col min="9" max="9" width="16.5546875" bestFit="1" customWidth="1"/>
    <col min="10" max="10" width="9.6640625" bestFit="1" customWidth="1"/>
    <col min="11" max="14" width="9.33203125" bestFit="1" customWidth="1"/>
  </cols>
  <sheetData>
    <row r="1" spans="1:17" s="1" customFormat="1" ht="15.6" customHeight="1" x14ac:dyDescent="0.3">
      <c r="A1" s="6" t="s">
        <v>38</v>
      </c>
      <c r="B1" s="7">
        <v>2024</v>
      </c>
      <c r="C1" s="8">
        <v>2023</v>
      </c>
      <c r="D1" s="8">
        <v>2022</v>
      </c>
      <c r="E1" s="8">
        <v>2021</v>
      </c>
      <c r="F1" s="10"/>
      <c r="I1" s="8"/>
      <c r="J1" s="8" t="s">
        <v>39</v>
      </c>
      <c r="K1" s="8" t="s">
        <v>40</v>
      </c>
      <c r="L1" s="8" t="s">
        <v>41</v>
      </c>
      <c r="M1" s="8" t="s">
        <v>42</v>
      </c>
      <c r="N1" s="8" t="s">
        <v>43</v>
      </c>
    </row>
    <row r="2" spans="1:17" s="1" customFormat="1" ht="15.6" customHeight="1" x14ac:dyDescent="0.3">
      <c r="A2" s="2" t="s">
        <v>44</v>
      </c>
      <c r="B2" s="23">
        <f>Raw_FS!B$2</f>
        <v>245122000000</v>
      </c>
      <c r="C2" s="23">
        <f>Raw_FS!C$2</f>
        <v>211915000000</v>
      </c>
      <c r="D2" s="23">
        <f>Raw_FS!D$2</f>
        <v>198270000000</v>
      </c>
      <c r="E2" s="23">
        <f>Raw_FS!E$2</f>
        <v>168088000000</v>
      </c>
      <c r="F2" s="17"/>
      <c r="I2" s="9" t="s">
        <v>45</v>
      </c>
      <c r="J2" s="23">
        <f>$B2*(1+sales_cagr)</f>
        <v>245122000000</v>
      </c>
      <c r="K2" s="23">
        <f>J$2*(1+sales_cagr)</f>
        <v>245122000000</v>
      </c>
      <c r="L2" s="23">
        <f>K$2*(1+sales_cagr)</f>
        <v>245122000000</v>
      </c>
      <c r="M2" s="23">
        <f>L$2*(1+sales_cagr)</f>
        <v>245122000000</v>
      </c>
      <c r="N2" s="23">
        <f>M$2*(1+sales_cagr)</f>
        <v>245122000000</v>
      </c>
    </row>
    <row r="3" spans="1:17" s="1" customFormat="1" ht="15.6" customHeight="1" x14ac:dyDescent="0.3">
      <c r="A3" s="2" t="s">
        <v>46</v>
      </c>
      <c r="B3" s="23">
        <f>Raw_FS!B$3</f>
        <v>110722000000</v>
      </c>
      <c r="C3" s="23">
        <f>Raw_FS!C$3</f>
        <v>91279000000</v>
      </c>
      <c r="D3" s="23">
        <f>Raw_FS!D$3</f>
        <v>85779000000</v>
      </c>
      <c r="E3" s="23">
        <f>Raw_FS!E$3</f>
        <v>73448000000</v>
      </c>
      <c r="F3" s="17"/>
      <c r="I3" s="2" t="s">
        <v>47</v>
      </c>
      <c r="J3" s="23">
        <f>ebit_target</f>
        <v>0</v>
      </c>
      <c r="K3" s="23">
        <f>ebit_target</f>
        <v>0</v>
      </c>
      <c r="L3" s="23">
        <f>ebit_target</f>
        <v>0</v>
      </c>
      <c r="M3" s="23">
        <f>ebit_target</f>
        <v>0</v>
      </c>
      <c r="N3" s="23">
        <f>ebit_target</f>
        <v>0</v>
      </c>
    </row>
    <row r="4" spans="1:17" s="1" customFormat="1" ht="15.6" customHeight="1" x14ac:dyDescent="0.3">
      <c r="A4" s="2" t="s">
        <v>7</v>
      </c>
      <c r="B4" s="22">
        <f>Inputs!$B$8</f>
        <v>0</v>
      </c>
      <c r="C4" s="22">
        <f>Inputs!$B$8</f>
        <v>0</v>
      </c>
      <c r="D4" s="22">
        <f>Inputs!$B$8</f>
        <v>0</v>
      </c>
      <c r="E4" s="22">
        <f>Inputs!$B$8</f>
        <v>0</v>
      </c>
      <c r="F4" s="17"/>
      <c r="I4" s="2" t="s">
        <v>46</v>
      </c>
      <c r="J4" s="23">
        <f>J2*J3</f>
        <v>0</v>
      </c>
      <c r="K4" s="23">
        <f>K2*K3</f>
        <v>0</v>
      </c>
      <c r="L4" s="23">
        <f>L2*L3</f>
        <v>0</v>
      </c>
      <c r="M4" s="23">
        <f>M2*M3</f>
        <v>0</v>
      </c>
      <c r="N4" s="23">
        <f>N2*N3</f>
        <v>0</v>
      </c>
    </row>
    <row r="5" spans="1:17" ht="15.6" customHeight="1" x14ac:dyDescent="0.3">
      <c r="A5" s="2" t="s">
        <v>48</v>
      </c>
      <c r="B5" s="23">
        <f>B3*(1-B4)</f>
        <v>110722000000</v>
      </c>
      <c r="C5" s="23">
        <f>C3*(1-C4)</f>
        <v>91279000000</v>
      </c>
      <c r="D5" s="23">
        <f>D3*(1-D4)</f>
        <v>85779000000</v>
      </c>
      <c r="E5" s="23">
        <f>E3*(1-E4)</f>
        <v>73448000000</v>
      </c>
      <c r="F5" s="17"/>
      <c r="G5" s="1"/>
      <c r="H5" s="1"/>
      <c r="I5" s="2" t="s">
        <v>49</v>
      </c>
      <c r="J5" s="23">
        <f>J4*tax_rate</f>
        <v>0</v>
      </c>
      <c r="K5" s="23">
        <f>K4*tax_rate</f>
        <v>0</v>
      </c>
      <c r="L5" s="23">
        <f>L4*tax_rate</f>
        <v>0</v>
      </c>
      <c r="M5" s="23">
        <f>M4*tax_rate</f>
        <v>0</v>
      </c>
      <c r="N5" s="23">
        <f>N4*tax_rate</f>
        <v>0</v>
      </c>
      <c r="O5" s="1"/>
      <c r="P5" s="1"/>
      <c r="Q5" s="1"/>
    </row>
    <row r="6" spans="1:17" ht="15.6" customHeight="1" x14ac:dyDescent="0.3">
      <c r="A6" s="2" t="s">
        <v>50</v>
      </c>
      <c r="B6" s="23">
        <f>Raw_FS!B$5</f>
        <v>22287000000</v>
      </c>
      <c r="C6" s="23">
        <f>Raw_FS!C$5</f>
        <v>13861000000</v>
      </c>
      <c r="D6" s="23">
        <f>Raw_FS!D$5</f>
        <v>14460000000</v>
      </c>
      <c r="E6" s="23">
        <f>Raw_FS!E$5</f>
        <v>11686000000</v>
      </c>
      <c r="F6" s="17"/>
      <c r="G6" s="1"/>
      <c r="H6" s="1"/>
      <c r="I6" s="2" t="s">
        <v>48</v>
      </c>
      <c r="J6" s="23">
        <f>J4-J5</f>
        <v>0</v>
      </c>
      <c r="K6" s="23">
        <f>K4-K5</f>
        <v>0</v>
      </c>
      <c r="L6" s="23">
        <f>L4-L5</f>
        <v>0</v>
      </c>
      <c r="M6" s="23">
        <f>M4-M5</f>
        <v>0</v>
      </c>
      <c r="N6" s="23">
        <f>N4-N5</f>
        <v>0</v>
      </c>
      <c r="O6" s="1"/>
      <c r="P6" s="1"/>
      <c r="Q6" s="1"/>
    </row>
    <row r="7" spans="1:17" ht="15.6" customHeight="1" x14ac:dyDescent="0.3">
      <c r="A7" s="2" t="s">
        <v>51</v>
      </c>
      <c r="B7" s="23">
        <f>B3+B6</f>
        <v>133009000000</v>
      </c>
      <c r="C7" s="23">
        <f>C3+C6</f>
        <v>105140000000</v>
      </c>
      <c r="D7" s="23">
        <f>D3+D6</f>
        <v>100239000000</v>
      </c>
      <c r="E7" s="23">
        <f>E3+E6</f>
        <v>85134000000</v>
      </c>
      <c r="F7" s="17"/>
      <c r="G7" s="1"/>
      <c r="H7" s="1"/>
      <c r="I7" s="2" t="s">
        <v>50</v>
      </c>
      <c r="J7" s="23">
        <f>J2*dep_pct</f>
        <v>0</v>
      </c>
      <c r="K7" s="23">
        <f>K2*dep_pct</f>
        <v>0</v>
      </c>
      <c r="L7" s="23">
        <f>L2*dep_pct</f>
        <v>0</v>
      </c>
      <c r="M7" s="23">
        <f>M2*dep_pct</f>
        <v>0</v>
      </c>
      <c r="N7" s="23">
        <f>N2*dep_pct</f>
        <v>0</v>
      </c>
      <c r="O7" s="1"/>
      <c r="P7" s="1"/>
      <c r="Q7" s="1"/>
    </row>
    <row r="8" spans="1:17" ht="15.6" customHeight="1" x14ac:dyDescent="0.3">
      <c r="A8" s="2" t="s">
        <v>52</v>
      </c>
      <c r="B8" s="21">
        <f>B7/B2</f>
        <v>0.54262367310971682</v>
      </c>
      <c r="C8" s="21">
        <f>C7/C2</f>
        <v>0.49614232121369417</v>
      </c>
      <c r="D8" s="21">
        <f>D7/D2</f>
        <v>0.50556816462399756</v>
      </c>
      <c r="E8" s="21">
        <f>E7/E2</f>
        <v>0.50648469849126643</v>
      </c>
      <c r="F8" s="17"/>
      <c r="G8" s="1"/>
      <c r="H8" s="1"/>
      <c r="I8" s="2"/>
      <c r="J8" s="23"/>
      <c r="K8" s="23"/>
      <c r="L8" s="23"/>
      <c r="M8" s="23"/>
      <c r="N8" s="23"/>
      <c r="O8" s="1"/>
      <c r="P8" s="1"/>
      <c r="Q8" s="1"/>
    </row>
    <row r="9" spans="1:17" ht="15.6" customHeight="1" x14ac:dyDescent="0.3">
      <c r="A9" s="2" t="s">
        <v>53</v>
      </c>
      <c r="B9" s="23">
        <f>Raw_FS!B$12</f>
        <v>21996000000</v>
      </c>
      <c r="C9" s="23">
        <f>Raw_FS!C$12</f>
        <v>18095000000</v>
      </c>
      <c r="D9" s="23">
        <f>Raw_FS!D$12</f>
        <v>19000000000</v>
      </c>
      <c r="E9" s="23">
        <f>Raw_FS!E$12</f>
        <v>15163000000</v>
      </c>
      <c r="F9" s="17"/>
      <c r="G9" s="1"/>
      <c r="H9" s="1"/>
      <c r="I9" s="2" t="s">
        <v>53</v>
      </c>
      <c r="J9" s="23">
        <f>J2*capex_pct</f>
        <v>0</v>
      </c>
      <c r="K9" s="23">
        <f>K2*capex_pct</f>
        <v>0</v>
      </c>
      <c r="L9" s="23">
        <f>L2*capex_pct</f>
        <v>0</v>
      </c>
      <c r="M9" s="23">
        <f>M2*capex_pct</f>
        <v>0</v>
      </c>
      <c r="N9" s="23">
        <f>N2*capex_pct</f>
        <v>0</v>
      </c>
      <c r="O9" s="1"/>
      <c r="P9" s="1"/>
      <c r="Q9" s="1"/>
    </row>
    <row r="10" spans="1:17" ht="15.6" customHeight="1" x14ac:dyDescent="0.3">
      <c r="A10" s="3" t="s">
        <v>54</v>
      </c>
      <c r="B10" s="23">
        <f>(Raw_FS!B10+Raw_FS!B11-Raw_FS!B12)-(Raw_FS!C10+Raw_FS!C11-Raw_FS!C12)</f>
        <v>3081000000</v>
      </c>
      <c r="C10" s="23">
        <f>(Raw_FS!C10+Raw_FS!C11-Raw_FS!C12)-(Raw_FS!D10+Raw_FS!D11-Raw_FS!D12)</f>
        <v>4090000000</v>
      </c>
      <c r="D10" s="23">
        <f>(Raw_FS!D10+Raw_FS!D11-Raw_FS!D12)-(Raw_FS!E10+Raw_FS!E11-Raw_FS!E12)</f>
        <v>3487000000</v>
      </c>
      <c r="E10" s="23">
        <f>0</f>
        <v>0</v>
      </c>
      <c r="F10" s="17"/>
      <c r="G10" s="1"/>
      <c r="H10" s="1"/>
      <c r="I10" s="3" t="s">
        <v>54</v>
      </c>
      <c r="J10" s="23">
        <f>J2*nwc_pct</f>
        <v>0</v>
      </c>
      <c r="K10" s="23">
        <f>K2*nwc_pct</f>
        <v>0</v>
      </c>
      <c r="L10" s="23">
        <f>L2*nwc_pct</f>
        <v>0</v>
      </c>
      <c r="M10" s="23">
        <f>M2*nwc_pct</f>
        <v>0</v>
      </c>
      <c r="N10" s="23">
        <f>N2*nwc_pct</f>
        <v>0</v>
      </c>
      <c r="O10" s="1"/>
      <c r="P10" s="1"/>
      <c r="Q10" s="1"/>
    </row>
    <row r="11" spans="1:17" ht="15.6" customHeight="1" x14ac:dyDescent="0.3">
      <c r="A11" s="2" t="s">
        <v>55</v>
      </c>
      <c r="B11" s="23">
        <f>B5+B6-B9-B10</f>
        <v>107932000000</v>
      </c>
      <c r="C11" s="23">
        <f>C5+C6-C9-C10</f>
        <v>82955000000</v>
      </c>
      <c r="D11" s="23">
        <f>D5+D6-D9-D10</f>
        <v>77752000000</v>
      </c>
      <c r="E11" s="23">
        <f>E5+E6-E9-E10</f>
        <v>69971000000</v>
      </c>
      <c r="F11" s="17"/>
      <c r="G11" s="1"/>
      <c r="H11" s="1"/>
      <c r="I11" s="2" t="s">
        <v>55</v>
      </c>
      <c r="J11" s="23">
        <f>J6+J7-J9-J10</f>
        <v>0</v>
      </c>
      <c r="K11" s="23">
        <f>K6+K7-K9-K10</f>
        <v>0</v>
      </c>
      <c r="L11" s="23">
        <f>L6+L7-L9-L10</f>
        <v>0</v>
      </c>
      <c r="M11" s="23">
        <f>M6+M7-M9-M10</f>
        <v>0</v>
      </c>
      <c r="N11" s="23">
        <f>N6+N7-N9-N10</f>
        <v>0</v>
      </c>
      <c r="O11" s="1"/>
      <c r="P11" s="1"/>
      <c r="Q11" s="1"/>
    </row>
    <row r="12" spans="1:17" ht="15.6" customHeight="1" x14ac:dyDescent="0.3">
      <c r="A12" s="2" t="s">
        <v>56</v>
      </c>
      <c r="B12" s="21">
        <f>B5/(Raw_FS!B$7-Raw_FS!B$9-Raw_FS!B$12)</f>
        <v>0.23465408645083627</v>
      </c>
      <c r="C12" s="21">
        <f>C5/(Raw_FS!C$7-Raw_FS!C$9-Raw_FS!C$12)</f>
        <v>0.25413375578057618</v>
      </c>
      <c r="D12" s="21">
        <f>D5/(Raw_FS!D$7-Raw_FS!D$9-Raw_FS!D$12)</f>
        <v>0.2584413197593316</v>
      </c>
      <c r="E12" s="21">
        <f>E5/(Raw_FS!E$7-Raw_FS!E$9-Raw_FS!E$12)</f>
        <v>0.24129412073904702</v>
      </c>
      <c r="F12" s="17"/>
      <c r="G12" s="1"/>
      <c r="H12" s="1"/>
      <c r="I12" s="2" t="s">
        <v>57</v>
      </c>
      <c r="J12" s="23">
        <f>1/(1+wacc)^(COLUMN()-COLUMN($J$1)+1)</f>
        <v>1</v>
      </c>
      <c r="K12" s="23">
        <f>1/(1+wacc)^(COLUMN()-COLUMN($J$1)+1)</f>
        <v>1</v>
      </c>
      <c r="L12" s="23">
        <f>1/(1+wacc)^(COLUMN()-COLUMN($J$1)+1)</f>
        <v>1</v>
      </c>
      <c r="M12" s="23">
        <f>1/(1+wacc)^(COLUMN()-COLUMN($J$1)+1)</f>
        <v>1</v>
      </c>
      <c r="N12" s="23">
        <f>1/(1+wacc)^(COLUMN()-COLUMN($J$1)+1)</f>
        <v>1</v>
      </c>
      <c r="O12" s="1"/>
      <c r="P12" s="1"/>
      <c r="Q12" s="1"/>
    </row>
    <row r="13" spans="1:17" ht="15.6" customHeight="1" x14ac:dyDescent="0.3">
      <c r="A13" s="2" t="s">
        <v>58</v>
      </c>
      <c r="B13" s="21">
        <f>B11/B2</f>
        <v>0.44031951436427574</v>
      </c>
      <c r="C13" s="21">
        <f>C11/C2</f>
        <v>0.39145412075596348</v>
      </c>
      <c r="D13" s="21">
        <f>D11/D2</f>
        <v>0.39215211580168458</v>
      </c>
      <c r="E13" s="21">
        <f>E11/E2</f>
        <v>0.41627599828661177</v>
      </c>
      <c r="F13" s="17"/>
      <c r="G13" s="1"/>
      <c r="H13" s="1"/>
      <c r="I13" s="5" t="s">
        <v>59</v>
      </c>
      <c r="J13" s="24">
        <f>J11*J12</f>
        <v>0</v>
      </c>
      <c r="K13" s="24">
        <f>K11*K12</f>
        <v>0</v>
      </c>
      <c r="L13" s="24">
        <f>L11*L12</f>
        <v>0</v>
      </c>
      <c r="M13" s="24">
        <f>M11*M12</f>
        <v>0</v>
      </c>
      <c r="N13" s="24">
        <f>N11*N12</f>
        <v>0</v>
      </c>
      <c r="O13" s="1"/>
      <c r="P13" s="1"/>
      <c r="Q13" s="1"/>
    </row>
    <row r="14" spans="1:17" ht="15.6" customHeight="1" x14ac:dyDescent="0.3">
      <c r="A14" s="2" t="s">
        <v>60</v>
      </c>
      <c r="B14" s="22">
        <f>(B2/E2)^(1/3)-1</f>
        <v>0.13400558612967717</v>
      </c>
      <c r="C14" s="17"/>
      <c r="D14" s="17"/>
      <c r="E14" s="17"/>
      <c r="F14" s="1"/>
      <c r="G14" s="1"/>
      <c r="H14" s="1"/>
      <c r="I14" s="15" t="s">
        <v>61</v>
      </c>
      <c r="J14" s="18">
        <f>N$11*(1+Inputs!B16)</f>
        <v>0</v>
      </c>
      <c r="K14" s="1"/>
      <c r="L14" s="1"/>
      <c r="M14" s="1"/>
      <c r="N14" s="1"/>
      <c r="O14" s="1"/>
      <c r="P14" s="1"/>
      <c r="Q14" s="1"/>
    </row>
    <row r="15" spans="1:17" ht="15.6" customHeight="1" x14ac:dyDescent="0.3">
      <c r="A15" s="1"/>
      <c r="B15" s="1"/>
      <c r="C15" s="1"/>
      <c r="D15" s="1"/>
      <c r="F15" s="11"/>
      <c r="I15" s="12" t="s">
        <v>62</v>
      </c>
      <c r="J15" s="19" t="e">
        <f>J14/(wacc-Inputs!B16)</f>
        <v>#DIV/0!</v>
      </c>
      <c r="K15" s="1"/>
      <c r="L15" s="1"/>
      <c r="M15" s="1"/>
      <c r="N15" s="1"/>
      <c r="O15" s="1"/>
      <c r="P15" s="1"/>
      <c r="Q15" s="1"/>
    </row>
    <row r="16" spans="1:17" ht="16.2" customHeight="1" thickBot="1" x14ac:dyDescent="0.35">
      <c r="A16" s="1"/>
      <c r="B16" s="1"/>
      <c r="C16" s="1"/>
      <c r="D16" s="1"/>
      <c r="F16" s="11"/>
      <c r="I16" s="12" t="s">
        <v>57</v>
      </c>
      <c r="J16" s="10">
        <f>1/(1+wacc)^(COLUMN(N$1)-COLUMN($J$1)+1)</f>
        <v>1</v>
      </c>
      <c r="K16" s="1"/>
      <c r="L16" s="1"/>
      <c r="M16" s="1"/>
      <c r="N16" s="1"/>
      <c r="O16" s="1"/>
      <c r="P16" s="1"/>
      <c r="Q16" s="1"/>
    </row>
    <row r="17" spans="1:17" ht="16.2" customHeight="1" x14ac:dyDescent="0.35">
      <c r="A17" s="1"/>
      <c r="B17" s="1"/>
      <c r="C17" s="1"/>
      <c r="D17" s="1"/>
      <c r="F17" s="11"/>
      <c r="I17" s="16" t="s">
        <v>63</v>
      </c>
      <c r="J17" s="20" t="e">
        <f>J15*J16</f>
        <v>#DIV/0!</v>
      </c>
      <c r="K17" s="1"/>
      <c r="L17" s="1"/>
      <c r="M17" s="1"/>
      <c r="N17" s="1"/>
      <c r="O17" s="1"/>
      <c r="P17" s="1"/>
      <c r="Q17" s="1"/>
    </row>
    <row r="18" spans="1:17" ht="15.6" customHeight="1" x14ac:dyDescent="0.3">
      <c r="A18" s="1"/>
      <c r="B18" s="1"/>
      <c r="C18" s="1"/>
      <c r="D18" s="1"/>
      <c r="F18" s="11"/>
      <c r="I18" s="1"/>
      <c r="J18" s="1"/>
      <c r="K18" s="1"/>
      <c r="L18" s="1"/>
      <c r="M18" s="1"/>
      <c r="N18" s="1"/>
      <c r="O18" s="1"/>
      <c r="P18" s="1"/>
      <c r="Q18" s="1"/>
    </row>
    <row r="19" spans="1:17" ht="15.6" customHeight="1" x14ac:dyDescent="0.3">
      <c r="A19" s="2" t="s">
        <v>64</v>
      </c>
      <c r="B19" s="1">
        <f>SUM(J13:N13)</f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.6" customHeight="1" x14ac:dyDescent="0.3">
      <c r="A20" s="2" t="s">
        <v>65</v>
      </c>
      <c r="B20" s="1" t="e">
        <f>pv_fcff_total+J17</f>
        <v>#DIV/0!</v>
      </c>
      <c r="C20" s="1"/>
      <c r="D20" s="1"/>
      <c r="E20" s="1"/>
      <c r="F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6" customHeight="1" x14ac:dyDescent="0.3">
      <c r="A21" s="2" t="s">
        <v>66</v>
      </c>
      <c r="B21" s="1">
        <f>Raw_FS!B$17-Raw_FS!B$16</f>
        <v>0</v>
      </c>
      <c r="C21" s="1"/>
      <c r="D21" s="1"/>
      <c r="E21" s="1"/>
      <c r="F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6" customHeight="1" x14ac:dyDescent="0.3">
      <c r="A22" s="2" t="s">
        <v>67</v>
      </c>
      <c r="B22" s="1" t="e">
        <f>ev-net_debt</f>
        <v>#DIV/0!</v>
      </c>
      <c r="C22" s="1"/>
      <c r="D22" s="1"/>
      <c r="E22" s="1"/>
      <c r="F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6" customHeight="1" x14ac:dyDescent="0.3">
      <c r="A23" s="2" t="s">
        <v>68</v>
      </c>
      <c r="B23" s="1">
        <f>Inputs!B3</f>
        <v>0</v>
      </c>
      <c r="C23" s="1"/>
      <c r="D23" s="1"/>
      <c r="E23" s="1"/>
      <c r="F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6" customHeight="1" x14ac:dyDescent="0.3">
      <c r="A24" s="2" t="s">
        <v>69</v>
      </c>
      <c r="B24" s="1" t="e">
        <f>equity_value/shares_out</f>
        <v>#DIV/0!</v>
      </c>
      <c r="C24" s="1"/>
      <c r="D24" s="1"/>
      <c r="E24" s="1"/>
      <c r="F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6" customHeight="1" x14ac:dyDescent="0.3">
      <c r="A25" s="2" t="s">
        <v>70</v>
      </c>
      <c r="B25" s="1"/>
      <c r="C25" s="1"/>
      <c r="D25" s="1"/>
      <c r="E25" s="1"/>
      <c r="F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6" customHeight="1" x14ac:dyDescent="0.3">
      <c r="A26" s="2" t="s">
        <v>71</v>
      </c>
      <c r="B26" s="1" t="e">
        <f>implied_price/current_price - 1</f>
        <v>#DIV/0!</v>
      </c>
      <c r="C26" s="1"/>
      <c r="D26" s="1"/>
      <c r="E26" s="1"/>
      <c r="F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6" customHeight="1" x14ac:dyDescent="0.3">
      <c r="A27" s="1"/>
      <c r="B27" s="1"/>
      <c r="C27" s="1"/>
      <c r="D27" s="1"/>
      <c r="E27" s="1"/>
      <c r="F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6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6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6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6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6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6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6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6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6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6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6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6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6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6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6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6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6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6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6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6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6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6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6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6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6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6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6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6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6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6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6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6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.6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6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.6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.6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6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6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.6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.6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.6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.6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.6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.6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.6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.6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.6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.6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.6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.6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.6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.6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.6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.6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.6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6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6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.6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.6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6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6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6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6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6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6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6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6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6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6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6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6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6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6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6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6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.6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.6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.6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.6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.6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.6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.6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.6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.6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.6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.6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6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.6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.6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.6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.6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.6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.6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.6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.6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.6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.6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.6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.6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.6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.6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.6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.6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.6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.6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.6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.6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.6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.6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.6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.6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.6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.6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.6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.6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.6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.6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.6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.6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.6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.6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.6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.6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.6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.6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.6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.6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.6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.6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zoomScale="130" zoomScaleNormal="130" workbookViewId="0">
      <selection activeCell="B3" sqref="B3"/>
    </sheetView>
  </sheetViews>
  <sheetFormatPr defaultRowHeight="14.4" x14ac:dyDescent="0.3"/>
  <cols>
    <col min="1" max="1" width="18.6640625" bestFit="1" customWidth="1"/>
  </cols>
  <sheetData>
    <row r="1" spans="1:8" ht="15.6" customHeight="1" x14ac:dyDescent="0.3">
      <c r="A1" s="2" t="s">
        <v>72</v>
      </c>
      <c r="B1" s="1" t="e">
        <f>implied_price</f>
        <v>#DIV/0!</v>
      </c>
      <c r="C1" s="1"/>
      <c r="D1" s="1"/>
      <c r="E1" s="1"/>
      <c r="F1" s="1"/>
      <c r="G1" s="1"/>
      <c r="H1" s="1"/>
    </row>
    <row r="2" spans="1:8" ht="15.6" customHeight="1" x14ac:dyDescent="0.3">
      <c r="A2" s="2" t="s">
        <v>70</v>
      </c>
      <c r="B2" s="1"/>
      <c r="C2" s="1"/>
      <c r="D2" s="1"/>
      <c r="E2" s="1"/>
      <c r="F2" s="1"/>
      <c r="G2" s="1"/>
      <c r="H2" s="1"/>
    </row>
    <row r="3" spans="1:8" ht="15.6" customHeight="1" x14ac:dyDescent="0.3">
      <c r="A3" s="2" t="s">
        <v>73</v>
      </c>
      <c r="B3" s="1" t="e">
        <f>upside_pct</f>
        <v>#DIV/0!</v>
      </c>
      <c r="C3" s="1"/>
      <c r="D3" s="1"/>
      <c r="E3" s="1"/>
      <c r="F3" s="1"/>
      <c r="G3" s="1"/>
      <c r="H3" s="1"/>
    </row>
    <row r="4" spans="1:8" ht="15.6" customHeight="1" x14ac:dyDescent="0.3">
      <c r="A4" s="2" t="s">
        <v>18</v>
      </c>
      <c r="B4" s="1">
        <f>wacc</f>
        <v>0</v>
      </c>
      <c r="C4" s="1"/>
      <c r="D4" s="1"/>
      <c r="E4" s="1"/>
      <c r="F4" s="1"/>
      <c r="G4" s="1"/>
      <c r="H4" s="1"/>
    </row>
    <row r="5" spans="1:8" ht="15.6" customHeight="1" x14ac:dyDescent="0.3">
      <c r="A5" s="2" t="s">
        <v>74</v>
      </c>
      <c r="B5" s="1">
        <f>Inputs!B16</f>
        <v>0</v>
      </c>
      <c r="C5" s="1"/>
      <c r="D5" s="1"/>
      <c r="E5" s="1"/>
      <c r="F5" s="1"/>
      <c r="G5" s="1"/>
      <c r="H5" s="1"/>
    </row>
    <row r="6" spans="1:8" ht="15.6" customHeight="1" x14ac:dyDescent="0.3">
      <c r="A6" s="2" t="s">
        <v>22</v>
      </c>
      <c r="B6" s="1"/>
      <c r="C6" s="1"/>
      <c r="D6" s="1"/>
      <c r="E6" s="1"/>
      <c r="F6" s="1"/>
      <c r="G6" s="1"/>
      <c r="H6" s="1"/>
    </row>
    <row r="7" spans="1:8" ht="15.6" customHeight="1" x14ac:dyDescent="0.3">
      <c r="A7" s="2" t="s">
        <v>75</v>
      </c>
      <c r="B7" s="1">
        <f>Inputs!B18</f>
        <v>0</v>
      </c>
      <c r="C7" s="1"/>
      <c r="D7" s="1"/>
      <c r="E7" s="1"/>
      <c r="F7" s="1"/>
      <c r="G7" s="1"/>
      <c r="H7" s="1"/>
    </row>
    <row r="8" spans="1:8" ht="15.6" customHeight="1" x14ac:dyDescent="0.3">
      <c r="A8" s="1"/>
      <c r="B8" s="1"/>
      <c r="C8" s="1"/>
      <c r="D8" s="1"/>
      <c r="E8" s="1"/>
      <c r="F8" s="1"/>
      <c r="G8" s="1"/>
      <c r="H8" s="1"/>
    </row>
    <row r="9" spans="1:8" ht="15.6" customHeight="1" x14ac:dyDescent="0.3">
      <c r="A9" s="1"/>
      <c r="B9" s="1"/>
      <c r="C9" s="1"/>
      <c r="D9" s="1"/>
      <c r="E9" s="1"/>
      <c r="F9" s="1"/>
      <c r="G9" s="1"/>
      <c r="H9" s="1"/>
    </row>
    <row r="10" spans="1:8" ht="15.6" customHeight="1" x14ac:dyDescent="0.3">
      <c r="A10" s="1"/>
      <c r="B10" s="1"/>
      <c r="C10" s="1"/>
      <c r="D10" s="1"/>
      <c r="E10" s="1"/>
      <c r="F10" s="1"/>
      <c r="G10" s="1"/>
      <c r="H10" s="1"/>
    </row>
    <row r="11" spans="1:8" ht="15.6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ht="15.6" customHeight="1" x14ac:dyDescent="0.3">
      <c r="A12" s="1"/>
      <c r="B12" s="1"/>
      <c r="C12" s="1"/>
      <c r="D12" s="1"/>
      <c r="E12" s="1"/>
      <c r="F12" s="1"/>
      <c r="G12" s="1"/>
      <c r="H12" s="1"/>
    </row>
    <row r="13" spans="1:8" ht="15.6" customHeight="1" x14ac:dyDescent="0.3">
      <c r="A13" s="1"/>
      <c r="B13" s="1"/>
      <c r="C13" s="1"/>
      <c r="D13" s="1"/>
      <c r="E13" s="1"/>
      <c r="F13" s="1"/>
      <c r="G13" s="1"/>
      <c r="H13" s="1"/>
    </row>
    <row r="14" spans="1:8" ht="15.6" customHeight="1" x14ac:dyDescent="0.3">
      <c r="A14" s="1"/>
      <c r="B14" s="1"/>
      <c r="C14" s="1"/>
      <c r="D14" s="1"/>
      <c r="E14" s="1"/>
      <c r="F14" s="1"/>
      <c r="G14" s="1"/>
      <c r="H14" s="1"/>
    </row>
    <row r="15" spans="1:8" ht="15.6" customHeight="1" x14ac:dyDescent="0.3">
      <c r="A15" s="1"/>
      <c r="B15" s="1"/>
      <c r="C15" s="1"/>
      <c r="D15" s="1"/>
      <c r="E15" s="1"/>
      <c r="F15" s="1"/>
      <c r="G15" s="1"/>
      <c r="H15" s="1"/>
    </row>
    <row r="16" spans="1:8" ht="15.6" customHeight="1" x14ac:dyDescent="0.3">
      <c r="A16" s="1"/>
      <c r="B16" s="1"/>
      <c r="C16" s="1"/>
      <c r="D16" s="1"/>
      <c r="E16" s="1"/>
      <c r="F16" s="1"/>
      <c r="G16" s="1"/>
      <c r="H16" s="1"/>
    </row>
    <row r="17" spans="1:8" ht="15.6" customHeight="1" x14ac:dyDescent="0.3">
      <c r="A17" s="1"/>
      <c r="B17" s="1"/>
      <c r="C17" s="1"/>
      <c r="D17" s="1"/>
      <c r="E17" s="1"/>
      <c r="F17" s="1"/>
      <c r="G17" s="1"/>
      <c r="H17" s="1"/>
    </row>
    <row r="18" spans="1:8" ht="15.6" customHeight="1" x14ac:dyDescent="0.3">
      <c r="A18" s="1"/>
      <c r="B18" s="1"/>
      <c r="C18" s="1"/>
      <c r="D18" s="1"/>
      <c r="E18" s="1"/>
      <c r="F18" s="1"/>
      <c r="G18" s="1"/>
      <c r="H18" s="1"/>
    </row>
    <row r="19" spans="1:8" ht="15.6" customHeight="1" x14ac:dyDescent="0.3">
      <c r="A19" s="1"/>
      <c r="B19" s="1"/>
      <c r="C19" s="1"/>
      <c r="D19" s="1"/>
      <c r="E19" s="1"/>
      <c r="F19" s="1"/>
      <c r="G19" s="1"/>
      <c r="H19" s="1"/>
    </row>
    <row r="20" spans="1:8" ht="15.6" customHeight="1" x14ac:dyDescent="0.3">
      <c r="A20" s="1"/>
      <c r="B20" s="1"/>
      <c r="C20" s="1"/>
      <c r="D20" s="1"/>
      <c r="E20" s="1"/>
      <c r="F20" s="1"/>
      <c r="G20" s="1"/>
      <c r="H20" s="1"/>
    </row>
    <row r="21" spans="1:8" ht="15.6" customHeight="1" x14ac:dyDescent="0.3">
      <c r="A21" s="1"/>
      <c r="B21" s="1"/>
      <c r="C21" s="1"/>
      <c r="D21" s="1"/>
      <c r="E21" s="1"/>
      <c r="F21" s="1"/>
      <c r="G21" s="1"/>
      <c r="H21" s="1"/>
    </row>
    <row r="22" spans="1:8" ht="15.6" customHeight="1" x14ac:dyDescent="0.3">
      <c r="A22" s="1"/>
      <c r="B22" s="1"/>
      <c r="C22" s="1"/>
      <c r="D22" s="1"/>
      <c r="E22" s="1"/>
      <c r="F22" s="1"/>
      <c r="G22" s="1"/>
      <c r="H22" s="1"/>
    </row>
  </sheetData>
  <conditionalFormatting sqref="B3">
    <cfRule type="expression" dxfId="1" priority="1">
      <formula>$B$3&lt;0</formula>
    </cfRule>
    <cfRule type="expression" dxfId="0" priority="2">
      <formula>$B$3&gt;0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Inputs</vt:lpstr>
      <vt:lpstr>Raw_FS</vt:lpstr>
      <vt:lpstr>DCF</vt:lpstr>
      <vt:lpstr>Output</vt:lpstr>
      <vt:lpstr>capex_pct</vt:lpstr>
      <vt:lpstr>current_price</vt:lpstr>
      <vt:lpstr>dep_pct</vt:lpstr>
      <vt:lpstr>ebit_target</vt:lpstr>
      <vt:lpstr>equity_value</vt:lpstr>
      <vt:lpstr>ev</vt:lpstr>
      <vt:lpstr>forecast_horizon</vt:lpstr>
      <vt:lpstr>implied_price</vt:lpstr>
      <vt:lpstr>net_debt</vt:lpstr>
      <vt:lpstr>nwc_pct</vt:lpstr>
      <vt:lpstr>pv_fcff_total</vt:lpstr>
      <vt:lpstr>sales_cagr</vt:lpstr>
      <vt:lpstr>shares_out</vt:lpstr>
      <vt:lpstr>tax_rate</vt:lpstr>
      <vt:lpstr>upside_pct</vt:lpstr>
      <vt:lpstr>wacc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Duran</dc:creator>
  <cp:lastModifiedBy>Lucas Duran</cp:lastModifiedBy>
  <dcterms:created xsi:type="dcterms:W3CDTF">2015-06-05T18:17:20Z</dcterms:created>
  <dcterms:modified xsi:type="dcterms:W3CDTF">2025-07-14T18:44:14Z</dcterms:modified>
</cp:coreProperties>
</file>