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ucas\valuation-model\templates\"/>
    </mc:Choice>
  </mc:AlternateContent>
  <xr:revisionPtr revIDLastSave="0" documentId="13_ncr:1_{863018E1-7403-4B15-B59C-C92C4060923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nputs" sheetId="1" r:id="rId1"/>
    <sheet name="Raw_FS" sheetId="2" r:id="rId2"/>
    <sheet name="DCF" sheetId="3" r:id="rId3"/>
    <sheet name="Output" sheetId="4" r:id="rId4"/>
  </sheets>
  <definedNames>
    <definedName name="capex_pct">Inputs!$B$13</definedName>
    <definedName name="current_price">DCF!$B$24</definedName>
    <definedName name="dep_pct">Inputs!$B$14</definedName>
    <definedName name="ebit_target">Inputs!$B$12</definedName>
    <definedName name="equity_value">DCF!$B$21</definedName>
    <definedName name="ev">DCF!$B$19</definedName>
    <definedName name="forecast_horizon">Inputs!$B$10</definedName>
    <definedName name="implied_price">DCF!$B$23</definedName>
    <definedName name="net_debt">DCF!$B$20</definedName>
    <definedName name="nwc_pct">Inputs!$B$15</definedName>
    <definedName name="pv_fcff_total">DCF!$B$18</definedName>
    <definedName name="sales_cagr">Inputs!$B$11</definedName>
    <definedName name="shares_out">DCF!$B$22</definedName>
    <definedName name="tax_rate">Inputs!$B$8</definedName>
    <definedName name="upside_pct">DCF!$B$25</definedName>
    <definedName name="wacc">Inputs!$B$19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C8" i="3"/>
  <c r="D8" i="3"/>
  <c r="E8" i="3"/>
  <c r="B8" i="3"/>
  <c r="B7" i="4"/>
  <c r="B5" i="4"/>
  <c r="B22" i="3"/>
  <c r="B20" i="3"/>
  <c r="E7" i="3"/>
  <c r="D7" i="3"/>
  <c r="C7" i="3"/>
  <c r="B7" i="3"/>
  <c r="E6" i="3"/>
  <c r="D6" i="3"/>
  <c r="C6" i="3"/>
  <c r="B6" i="3"/>
  <c r="E4" i="3"/>
  <c r="E5" i="3" s="1"/>
  <c r="E10" i="3" s="1"/>
  <c r="D4" i="3"/>
  <c r="C4" i="3"/>
  <c r="B4" i="3"/>
  <c r="N3" i="3"/>
  <c r="M3" i="3"/>
  <c r="L3" i="3"/>
  <c r="K3" i="3"/>
  <c r="J3" i="3"/>
  <c r="E3" i="3"/>
  <c r="D3" i="3"/>
  <c r="D5" i="3" s="1"/>
  <c r="D10" i="3" s="1"/>
  <c r="C3" i="3"/>
  <c r="B3" i="3"/>
  <c r="E2" i="3"/>
  <c r="D2" i="3"/>
  <c r="C2" i="3"/>
  <c r="B2" i="3"/>
  <c r="J2" i="3" s="1"/>
  <c r="B19" i="1"/>
  <c r="K11" i="3" s="1"/>
  <c r="L11" i="3" l="1"/>
  <c r="M11" i="3"/>
  <c r="B5" i="3"/>
  <c r="B10" i="3" s="1"/>
  <c r="C5" i="3"/>
  <c r="C10" i="3" s="1"/>
  <c r="D9" i="3"/>
  <c r="D11" i="3" s="1"/>
  <c r="B9" i="3"/>
  <c r="B11" i="3" s="1"/>
  <c r="C9" i="3"/>
  <c r="C11" i="3" s="1"/>
  <c r="J8" i="3"/>
  <c r="J4" i="3"/>
  <c r="J7" i="3"/>
  <c r="K2" i="3"/>
  <c r="J9" i="3"/>
  <c r="E9" i="3"/>
  <c r="E11" i="3" s="1"/>
  <c r="N11" i="3"/>
  <c r="J15" i="3"/>
  <c r="J11" i="3"/>
  <c r="B4" i="4"/>
  <c r="J5" i="3" l="1"/>
  <c r="J6" i="3" s="1"/>
  <c r="J10" i="3" s="1"/>
  <c r="J12" i="3" s="1"/>
  <c r="K7" i="3"/>
  <c r="K4" i="3"/>
  <c r="L2" i="3"/>
  <c r="K8" i="3"/>
  <c r="K9" i="3"/>
  <c r="M2" i="3" l="1"/>
  <c r="L7" i="3"/>
  <c r="L9" i="3"/>
  <c r="L8" i="3"/>
  <c r="L4" i="3"/>
  <c r="K5" i="3"/>
  <c r="K6" i="3" s="1"/>
  <c r="K10" i="3" s="1"/>
  <c r="K12" i="3" s="1"/>
  <c r="L5" i="3" l="1"/>
  <c r="L6" i="3" s="1"/>
  <c r="L10" i="3" s="1"/>
  <c r="L12" i="3" s="1"/>
  <c r="N2" i="3"/>
  <c r="M9" i="3"/>
  <c r="M8" i="3"/>
  <c r="M4" i="3"/>
  <c r="M7" i="3"/>
  <c r="M5" i="3" l="1"/>
  <c r="M6" i="3" s="1"/>
  <c r="M10" i="3" s="1"/>
  <c r="M12" i="3" s="1"/>
  <c r="N9" i="3"/>
  <c r="N8" i="3"/>
  <c r="N4" i="3"/>
  <c r="N7" i="3"/>
  <c r="N5" i="3" l="1"/>
  <c r="N6" i="3" s="1"/>
  <c r="N10" i="3" s="1"/>
  <c r="J13" i="3" l="1"/>
  <c r="J14" i="3" s="1"/>
  <c r="J16" i="3" s="1"/>
  <c r="N12" i="3"/>
  <c r="B18" i="3" s="1"/>
  <c r="B19" i="3" l="1"/>
  <c r="B21" i="3" s="1"/>
  <c r="B23" i="3" s="1"/>
  <c r="B25" i="3" s="1"/>
  <c r="B3" i="4" s="1"/>
  <c r="B1" i="4"/>
</calcChain>
</file>

<file path=xl/sharedStrings.xml><?xml version="1.0" encoding="utf-8"?>
<sst xmlns="http://schemas.openxmlformats.org/spreadsheetml/2006/main" count="82" uniqueCount="72">
  <si>
    <t>Ticker</t>
  </si>
  <si>
    <t>Currency</t>
  </si>
  <si>
    <t>Shares Outstanding (mm)</t>
  </si>
  <si>
    <t>Manual Beta</t>
  </si>
  <si>
    <t>Equity-Risk Premium</t>
  </si>
  <si>
    <t>Risk-Free Rate</t>
  </si>
  <si>
    <t>Pre-Tax Cost of Debt</t>
  </si>
  <si>
    <t>Tax Rate</t>
  </si>
  <si>
    <t>Target Debt % of Capital</t>
  </si>
  <si>
    <t>Explicit-Forecast Horizon (yrs)</t>
  </si>
  <si>
    <t>Sales CAGR Assumption</t>
  </si>
  <si>
    <t>EBIT Margin Target (Year 5)</t>
  </si>
  <si>
    <t>CapEx % of Sales</t>
  </si>
  <si>
    <t>Dep &amp; Amort % of Sales</t>
  </si>
  <si>
    <t>∆NWC % of Sales</t>
  </si>
  <si>
    <t>Terminal Growth (g)</t>
  </si>
  <si>
    <t>Exit EV/EBITDA multiple</t>
  </si>
  <si>
    <t>Margin of Safety %</t>
  </si>
  <si>
    <t>WACC</t>
  </si>
  <si>
    <t>2024</t>
  </si>
  <si>
    <t>2023</t>
  </si>
  <si>
    <t>2022</t>
  </si>
  <si>
    <t>2021</t>
  </si>
  <si>
    <t>2020</t>
  </si>
  <si>
    <t>revenue</t>
  </si>
  <si>
    <t>ebit</t>
  </si>
  <si>
    <t>tax</t>
  </si>
  <si>
    <t>dep_amort</t>
  </si>
  <si>
    <t>capex</t>
  </si>
  <si>
    <t>assets</t>
  </si>
  <si>
    <t>debt</t>
  </si>
  <si>
    <t>cash</t>
  </si>
  <si>
    <t>ar</t>
  </si>
  <si>
    <t>inventory</t>
  </si>
  <si>
    <t>ap</t>
  </si>
  <si>
    <t>Year-columns</t>
  </si>
  <si>
    <t>2025F</t>
  </si>
  <si>
    <t>2026F</t>
  </si>
  <si>
    <t>2027F</t>
  </si>
  <si>
    <t>2028F</t>
  </si>
  <si>
    <t>2029F</t>
  </si>
  <si>
    <t>Revenue</t>
  </si>
  <si>
    <t>Sales</t>
  </si>
  <si>
    <t>EBIT</t>
  </si>
  <si>
    <t>EBIT Margin</t>
  </si>
  <si>
    <t>NOPAT</t>
  </si>
  <si>
    <t>Tax</t>
  </si>
  <si>
    <t>Dep &amp; Amort</t>
  </si>
  <si>
    <t>CapEx</t>
  </si>
  <si>
    <t>∆NWC</t>
  </si>
  <si>
    <t>FCFF</t>
  </si>
  <si>
    <t>ROIC</t>
  </si>
  <si>
    <t>FCF Margin</t>
  </si>
  <si>
    <t>Discount Factor</t>
  </si>
  <si>
    <t>CAGRs</t>
  </si>
  <si>
    <t>PV of FCFF</t>
  </si>
  <si>
    <t>Terminal FCFF</t>
  </si>
  <si>
    <t>TV</t>
  </si>
  <si>
    <t>PV of TV</t>
  </si>
  <si>
    <t>PV FCFF Total</t>
  </si>
  <si>
    <t>EV</t>
  </si>
  <si>
    <t>Net Debt</t>
  </si>
  <si>
    <t>Equity Value</t>
  </si>
  <si>
    <t>Shares Outstanding</t>
  </si>
  <si>
    <t>Implied Price</t>
  </si>
  <si>
    <t>Current Price</t>
  </si>
  <si>
    <t>Upside Pct</t>
  </si>
  <si>
    <t>Implied Fair Value</t>
  </si>
  <si>
    <t>Upside/(Downside)</t>
  </si>
  <si>
    <t>LT Growth (g)</t>
  </si>
  <si>
    <t>EV/EBITDA</t>
  </si>
  <si>
    <t>Margin of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</si>
</sst>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#,,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3" fillId="2" borderId="4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/>
    <xf numFmtId="0" fontId="3" fillId="0" borderId="0" xfId="0" applyFont="1"/>
    <xf numFmtId="0" fontId="0" fillId="0" borderId="0" xfId="0" applyAlignment="1">
      <alignment horizontal="centerContinuous"/>
    </xf>
    <xf numFmtId="0" fontId="3" fillId="2" borderId="1" xfId="0" applyFont="1" applyFill="1" applyBorder="1" applyAlignment="1">
      <alignment horizontal="left"/>
    </xf>
    <xf numFmtId="10" fontId="1" fillId="0" borderId="0" xfId="0" applyNumberFormat="1" applyFont="1"/>
    <xf numFmtId="1" fontId="1" fillId="0" borderId="0" xfId="0" applyNumberFormat="1" applyFont="1"/>
    <xf numFmtId="0" fontId="3" fillId="3" borderId="1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164" fontId="1" fillId="0" borderId="0" xfId="0" applyNumberFormat="1" applyFont="1"/>
    <xf numFmtId="164" fontId="1" fillId="2" borderId="3" xfId="0" applyNumberFormat="1" applyFont="1" applyFill="1" applyBorder="1"/>
    <xf numFmtId="164" fontId="3" fillId="3" borderId="0" xfId="0" applyNumberFormat="1" applyFont="1" applyFill="1"/>
    <xf numFmtId="164" fontId="3" fillId="0" borderId="0" xfId="0" applyNumberFormat="1" applyFont="1"/>
    <xf numFmtId="164" fontId="4" fillId="3" borderId="6" xfId="0" applyNumberFormat="1" applyFont="1" applyFill="1" applyBorder="1"/>
    <xf numFmtId="0" fontId="5" fillId="0" borderId="7" xfId="0" applyFont="1" applyBorder="1" applyAlignment="1">
      <alignment horizontal="center" vertical="top"/>
    </xf>
    <xf numFmtId="0" fontId="3" fillId="0" borderId="0" xfId="0" applyFont="1" applyFill="1" applyBorder="1"/>
    <xf numFmtId="165" fontId="1" fillId="0" borderId="0" xfId="1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zoomScale="130" zoomScaleNormal="130" workbookViewId="0">
      <pane xSplit="1" topLeftCell="B1" activePane="topRight" state="frozen"/>
      <selection pane="topRight" activeCell="B9" sqref="B9"/>
    </sheetView>
  </sheetViews>
  <sheetFormatPr defaultRowHeight="14.4" x14ac:dyDescent="0.3"/>
  <cols>
    <col min="1" max="1" width="29.21875" bestFit="1" customWidth="1"/>
  </cols>
  <sheetData>
    <row r="1" spans="1:17" ht="15.6" customHeight="1" x14ac:dyDescent="0.3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6" customHeight="1" x14ac:dyDescent="0.3">
      <c r="A2" s="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6" customHeight="1" x14ac:dyDescent="0.3">
      <c r="A3" s="4" t="s">
        <v>2</v>
      </c>
      <c r="B3" s="1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6" customHeight="1" x14ac:dyDescent="0.3">
      <c r="A4" s="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6" customHeight="1" x14ac:dyDescent="0.3">
      <c r="A5" s="4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customHeight="1" x14ac:dyDescent="0.3">
      <c r="A6" s="4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6" customHeight="1" x14ac:dyDescent="0.3">
      <c r="A7" s="4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6" customHeight="1" x14ac:dyDescent="0.3">
      <c r="A8" s="4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6" customHeight="1" x14ac:dyDescent="0.3">
      <c r="A9" s="4" t="s">
        <v>8</v>
      </c>
      <c r="B9" s="1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6" customHeight="1" x14ac:dyDescent="0.3">
      <c r="A10" s="4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6" customHeight="1" x14ac:dyDescent="0.3">
      <c r="A11" s="4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6" customHeight="1" x14ac:dyDescent="0.3">
      <c r="A12" s="4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6" customHeight="1" x14ac:dyDescent="0.3">
      <c r="A13" s="4" t="s">
        <v>12</v>
      </c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6" customHeight="1" x14ac:dyDescent="0.3">
      <c r="A14" s="4" t="s">
        <v>13</v>
      </c>
      <c r="B14" s="1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6" customHeight="1" x14ac:dyDescent="0.3">
      <c r="A15" s="4" t="s">
        <v>14</v>
      </c>
      <c r="B15" s="1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6" customHeight="1" x14ac:dyDescent="0.3">
      <c r="A16" s="4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6" customHeight="1" x14ac:dyDescent="0.3">
      <c r="A17" s="4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customHeight="1" x14ac:dyDescent="0.3">
      <c r="A18" s="4" t="s">
        <v>17</v>
      </c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customHeight="1" x14ac:dyDescent="0.3">
      <c r="A19" s="4" t="s">
        <v>18</v>
      </c>
      <c r="B19" s="1">
        <f>((B6+B4*B5)*(1-B9))+(B7*(1-B8)*B9)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/>
  </sheetViews>
  <sheetFormatPr defaultRowHeight="14.4" x14ac:dyDescent="0.3"/>
  <sheetData>
    <row r="1" spans="1:6" x14ac:dyDescent="0.3"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</row>
    <row r="2" spans="1:6" x14ac:dyDescent="0.3">
      <c r="A2" s="22" t="s">
        <v>24</v>
      </c>
      <c r="B2">
        <v>391035000000</v>
      </c>
      <c r="C2">
        <v>383285000000</v>
      </c>
      <c r="D2">
        <v>394328000000</v>
      </c>
      <c r="E2">
        <v>365817000000</v>
      </c>
    </row>
    <row r="3" spans="1:6" x14ac:dyDescent="0.3">
      <c r="A3" s="22" t="s">
        <v>25</v>
      </c>
      <c r="B3">
        <v>123216000000</v>
      </c>
      <c r="C3">
        <v>114301000000</v>
      </c>
      <c r="D3">
        <v>119437000000</v>
      </c>
      <c r="E3">
        <v>111852000000</v>
      </c>
    </row>
    <row r="4" spans="1:6" x14ac:dyDescent="0.3">
      <c r="A4" s="22" t="s">
        <v>26</v>
      </c>
      <c r="B4">
        <v>29749000000</v>
      </c>
      <c r="C4">
        <v>16741000000</v>
      </c>
      <c r="D4">
        <v>19300000000</v>
      </c>
      <c r="E4">
        <v>14527000000</v>
      </c>
    </row>
    <row r="5" spans="1:6" x14ac:dyDescent="0.3">
      <c r="A5" s="22" t="s">
        <v>27</v>
      </c>
      <c r="B5">
        <v>11445000000</v>
      </c>
      <c r="C5">
        <v>11519000000</v>
      </c>
      <c r="D5">
        <v>11104000000</v>
      </c>
      <c r="E5">
        <v>11284000000</v>
      </c>
    </row>
    <row r="6" spans="1:6" x14ac:dyDescent="0.3">
      <c r="A6" s="22" t="s">
        <v>28</v>
      </c>
      <c r="B6">
        <v>-9447000000</v>
      </c>
      <c r="C6">
        <v>-10959000000</v>
      </c>
      <c r="D6">
        <v>-10708000000</v>
      </c>
      <c r="E6">
        <v>-11085000000</v>
      </c>
    </row>
    <row r="7" spans="1:6" x14ac:dyDescent="0.3">
      <c r="A7" s="22" t="s">
        <v>29</v>
      </c>
      <c r="B7">
        <v>364980000000</v>
      </c>
      <c r="C7">
        <v>352583000000</v>
      </c>
      <c r="D7">
        <v>352755000000</v>
      </c>
      <c r="E7">
        <v>351002000000</v>
      </c>
    </row>
    <row r="8" spans="1:6" x14ac:dyDescent="0.3">
      <c r="A8" s="22" t="s">
        <v>30</v>
      </c>
      <c r="B8">
        <v>106629000000</v>
      </c>
      <c r="C8">
        <v>111088000000</v>
      </c>
      <c r="D8">
        <v>132480000000</v>
      </c>
      <c r="E8">
        <v>136522000000</v>
      </c>
    </row>
    <row r="9" spans="1:6" x14ac:dyDescent="0.3">
      <c r="A9" s="22" t="s">
        <v>31</v>
      </c>
      <c r="B9">
        <v>29943000000</v>
      </c>
      <c r="C9">
        <v>29965000000</v>
      </c>
      <c r="D9">
        <v>23646000000</v>
      </c>
      <c r="E9">
        <v>34940000000</v>
      </c>
    </row>
    <row r="10" spans="1:6" x14ac:dyDescent="0.3">
      <c r="A10" s="22" t="s">
        <v>32</v>
      </c>
      <c r="B10">
        <v>33410000000</v>
      </c>
      <c r="C10">
        <v>29508000000</v>
      </c>
      <c r="D10">
        <v>28184000000</v>
      </c>
      <c r="E10">
        <v>26278000000</v>
      </c>
    </row>
    <row r="11" spans="1:6" x14ac:dyDescent="0.3">
      <c r="A11" s="22" t="s">
        <v>33</v>
      </c>
      <c r="B11">
        <v>7286000000</v>
      </c>
      <c r="C11">
        <v>6331000000</v>
      </c>
      <c r="D11">
        <v>4946000000</v>
      </c>
      <c r="E11">
        <v>6580000000</v>
      </c>
    </row>
    <row r="12" spans="1:6" x14ac:dyDescent="0.3">
      <c r="A12" s="22" t="s">
        <v>34</v>
      </c>
      <c r="B12">
        <v>68960000000</v>
      </c>
      <c r="C12">
        <v>62611000000</v>
      </c>
      <c r="D12">
        <v>64115000000</v>
      </c>
      <c r="E12">
        <v>54763000000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5"/>
  <sheetViews>
    <sheetView tabSelected="1" zoomScale="130" zoomScaleNormal="130" workbookViewId="0">
      <selection activeCell="B23" sqref="B23"/>
    </sheetView>
  </sheetViews>
  <sheetFormatPr defaultRowHeight="14.4" x14ac:dyDescent="0.3"/>
  <cols>
    <col min="1" max="1" width="19" bestFit="1" customWidth="1"/>
    <col min="2" max="5" width="9.33203125" bestFit="1" customWidth="1"/>
    <col min="6" max="6" width="9" bestFit="1" customWidth="1"/>
    <col min="7" max="7" width="10.33203125" customWidth="1"/>
    <col min="8" max="8" width="9" bestFit="1" customWidth="1"/>
    <col min="9" max="9" width="16.5546875" bestFit="1" customWidth="1"/>
    <col min="10" max="10" width="9.6640625" bestFit="1" customWidth="1"/>
    <col min="11" max="14" width="9.33203125" bestFit="1" customWidth="1"/>
  </cols>
  <sheetData>
    <row r="1" spans="1:17" s="1" customFormat="1" ht="15.6" customHeight="1" x14ac:dyDescent="0.3">
      <c r="A1" s="6" t="s">
        <v>35</v>
      </c>
      <c r="B1" s="7">
        <v>2024</v>
      </c>
      <c r="C1" s="8">
        <v>2023</v>
      </c>
      <c r="D1" s="8">
        <v>2022</v>
      </c>
      <c r="E1" s="8">
        <v>2021</v>
      </c>
      <c r="F1" s="23"/>
      <c r="I1" s="8"/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</row>
    <row r="2" spans="1:17" s="1" customFormat="1" ht="15.6" customHeight="1" x14ac:dyDescent="0.3">
      <c r="A2" s="2" t="s">
        <v>41</v>
      </c>
      <c r="B2" s="17">
        <f>Raw_FS!B$2</f>
        <v>391035000000</v>
      </c>
      <c r="C2" s="17">
        <f>Raw_FS!C$2</f>
        <v>383285000000</v>
      </c>
      <c r="D2" s="17">
        <f>Raw_FS!D$2</f>
        <v>394328000000</v>
      </c>
      <c r="E2" s="17">
        <f>Raw_FS!E$2</f>
        <v>365817000000</v>
      </c>
      <c r="F2" s="17"/>
      <c r="I2" s="9" t="s">
        <v>42</v>
      </c>
      <c r="J2" s="17">
        <f>$B2*(1+sales_cagr)</f>
        <v>391035000000</v>
      </c>
      <c r="K2" s="17">
        <f>J$2*(1+sales_cagr)</f>
        <v>391035000000</v>
      </c>
      <c r="L2" s="17">
        <f>K$2*(1+sales_cagr)</f>
        <v>391035000000</v>
      </c>
      <c r="M2" s="17">
        <f>L$2*(1+sales_cagr)</f>
        <v>391035000000</v>
      </c>
      <c r="N2" s="17">
        <f>M$2*(1+sales_cagr)</f>
        <v>391035000000</v>
      </c>
    </row>
    <row r="3" spans="1:17" s="1" customFormat="1" ht="15.6" customHeight="1" x14ac:dyDescent="0.3">
      <c r="A3" s="2" t="s">
        <v>43</v>
      </c>
      <c r="B3" s="17">
        <f>Raw_FS!B$3</f>
        <v>123216000000</v>
      </c>
      <c r="C3" s="17">
        <f>Raw_FS!C$3</f>
        <v>114301000000</v>
      </c>
      <c r="D3" s="17">
        <f>Raw_FS!D$3</f>
        <v>119437000000</v>
      </c>
      <c r="E3" s="17">
        <f>Raw_FS!E$3</f>
        <v>111852000000</v>
      </c>
      <c r="F3" s="17"/>
      <c r="I3" s="2" t="s">
        <v>44</v>
      </c>
      <c r="J3" s="17">
        <f>ebit_target</f>
        <v>0</v>
      </c>
      <c r="K3" s="17">
        <f>ebit_target</f>
        <v>0</v>
      </c>
      <c r="L3" s="17">
        <f>ebit_target</f>
        <v>0</v>
      </c>
      <c r="M3" s="17">
        <f>ebit_target</f>
        <v>0</v>
      </c>
      <c r="N3" s="17">
        <f>ebit_target</f>
        <v>0</v>
      </c>
    </row>
    <row r="4" spans="1:17" s="1" customFormat="1" ht="15.6" customHeight="1" x14ac:dyDescent="0.3">
      <c r="A4" s="2" t="s">
        <v>7</v>
      </c>
      <c r="B4" s="25">
        <f>Inputs!$B$8</f>
        <v>0</v>
      </c>
      <c r="C4" s="25">
        <f>Inputs!$B$8</f>
        <v>0</v>
      </c>
      <c r="D4" s="25">
        <f>Inputs!$B$8</f>
        <v>0</v>
      </c>
      <c r="E4" s="25">
        <f>Inputs!$B$8</f>
        <v>0</v>
      </c>
      <c r="F4" s="17"/>
      <c r="I4" s="2" t="s">
        <v>43</v>
      </c>
      <c r="J4" s="17">
        <f>J2*J3</f>
        <v>0</v>
      </c>
      <c r="K4" s="17">
        <f>K2*K3</f>
        <v>0</v>
      </c>
      <c r="L4" s="17">
        <f>L2*L3</f>
        <v>0</v>
      </c>
      <c r="M4" s="17">
        <f>M2*M3</f>
        <v>0</v>
      </c>
      <c r="N4" s="17">
        <f>N2*N3</f>
        <v>0</v>
      </c>
    </row>
    <row r="5" spans="1:17" ht="15.6" customHeight="1" x14ac:dyDescent="0.3">
      <c r="A5" s="2" t="s">
        <v>45</v>
      </c>
      <c r="B5" s="17">
        <f>B3*(1-B4)</f>
        <v>123216000000</v>
      </c>
      <c r="C5" s="17">
        <f>C3*(1-C4)</f>
        <v>114301000000</v>
      </c>
      <c r="D5" s="17">
        <f>D3*(1-D4)</f>
        <v>119437000000</v>
      </c>
      <c r="E5" s="17">
        <f>E3*(1-E4)</f>
        <v>111852000000</v>
      </c>
      <c r="F5" s="17"/>
      <c r="G5" s="1"/>
      <c r="H5" s="1"/>
      <c r="I5" s="2" t="s">
        <v>46</v>
      </c>
      <c r="J5" s="17">
        <f>J4*tax_rate</f>
        <v>0</v>
      </c>
      <c r="K5" s="17">
        <f>K4*tax_rate</f>
        <v>0</v>
      </c>
      <c r="L5" s="17">
        <f>L4*tax_rate</f>
        <v>0</v>
      </c>
      <c r="M5" s="17">
        <f>M4*tax_rate</f>
        <v>0</v>
      </c>
      <c r="N5" s="17">
        <f>N4*tax_rate</f>
        <v>0</v>
      </c>
      <c r="O5" s="1"/>
      <c r="P5" s="1"/>
      <c r="Q5" s="1"/>
    </row>
    <row r="6" spans="1:17" ht="15.6" customHeight="1" x14ac:dyDescent="0.3">
      <c r="A6" s="2" t="s">
        <v>47</v>
      </c>
      <c r="B6" s="17">
        <f>Raw_FS!B$5</f>
        <v>11445000000</v>
      </c>
      <c r="C6" s="17">
        <f>Raw_FS!C$5</f>
        <v>11519000000</v>
      </c>
      <c r="D6" s="17">
        <f>Raw_FS!D$5</f>
        <v>11104000000</v>
      </c>
      <c r="E6" s="17">
        <f>Raw_FS!E$5</f>
        <v>11284000000</v>
      </c>
      <c r="F6" s="17"/>
      <c r="G6" s="1"/>
      <c r="H6" s="1"/>
      <c r="I6" s="2" t="s">
        <v>45</v>
      </c>
      <c r="J6" s="17">
        <f>J4-J5</f>
        <v>0</v>
      </c>
      <c r="K6" s="17">
        <f>K4-K5</f>
        <v>0</v>
      </c>
      <c r="L6" s="17">
        <f>L4-L5</f>
        <v>0</v>
      </c>
      <c r="M6" s="17">
        <f>M4-M5</f>
        <v>0</v>
      </c>
      <c r="N6" s="17">
        <f>N4-N5</f>
        <v>0</v>
      </c>
      <c r="O6" s="1"/>
      <c r="P6" s="1"/>
      <c r="Q6" s="1"/>
    </row>
    <row r="7" spans="1:17" ht="15.6" customHeight="1" x14ac:dyDescent="0.3">
      <c r="A7" s="2" t="s">
        <v>48</v>
      </c>
      <c r="B7" s="17">
        <f>Raw_FS!B$12</f>
        <v>68960000000</v>
      </c>
      <c r="C7" s="17">
        <f>Raw_FS!C$12</f>
        <v>62611000000</v>
      </c>
      <c r="D7" s="17">
        <f>Raw_FS!D$12</f>
        <v>64115000000</v>
      </c>
      <c r="E7" s="17">
        <f>Raw_FS!E$12</f>
        <v>54763000000</v>
      </c>
      <c r="F7" s="17"/>
      <c r="G7" s="1"/>
      <c r="H7" s="1"/>
      <c r="I7" s="2" t="s">
        <v>47</v>
      </c>
      <c r="J7" s="17">
        <f>J2*dep_pct</f>
        <v>0</v>
      </c>
      <c r="K7" s="17">
        <f>K2*dep_pct</f>
        <v>0</v>
      </c>
      <c r="L7" s="17">
        <f>L2*dep_pct</f>
        <v>0</v>
      </c>
      <c r="M7" s="17">
        <f>M2*dep_pct</f>
        <v>0</v>
      </c>
      <c r="N7" s="17">
        <f>N2*dep_pct</f>
        <v>0</v>
      </c>
      <c r="O7" s="1"/>
      <c r="P7" s="1"/>
      <c r="Q7" s="1"/>
    </row>
    <row r="8" spans="1:17" ht="15.6" customHeight="1" x14ac:dyDescent="0.3">
      <c r="A8" s="3" t="s">
        <v>49</v>
      </c>
      <c r="B8" s="17">
        <f>(Raw_FS!B10+Raw_FS!B11-Raw_FS!B12)-(Raw_FS!C10+Raw_FS!C11-Raw_FS!C12)</f>
        <v>-1492000000</v>
      </c>
      <c r="C8" s="17">
        <f>(Raw_FS!C10+Raw_FS!C11-Raw_FS!C12)-(Raw_FS!D10+Raw_FS!D11-Raw_FS!D12)</f>
        <v>4213000000</v>
      </c>
      <c r="D8" s="17">
        <f>(Raw_FS!D10+Raw_FS!D11-Raw_FS!D12)-(Raw_FS!E10+Raw_FS!E11-Raw_FS!E12)</f>
        <v>-9080000000</v>
      </c>
      <c r="E8" s="17">
        <f>(Raw_FS!E10+Raw_FS!E11-Raw_FS!E12)-(Raw_FS!F10+Raw_FS!F11-Raw_FS!F12)</f>
        <v>-21905000000</v>
      </c>
      <c r="F8" s="17"/>
      <c r="G8" s="1"/>
      <c r="H8" s="1"/>
      <c r="I8" s="2" t="s">
        <v>48</v>
      </c>
      <c r="J8" s="17">
        <f>J2*capex_pct</f>
        <v>0</v>
      </c>
      <c r="K8" s="17">
        <f>K2*capex_pct</f>
        <v>0</v>
      </c>
      <c r="L8" s="17">
        <f>L2*capex_pct</f>
        <v>0</v>
      </c>
      <c r="M8" s="17">
        <f>M2*capex_pct</f>
        <v>0</v>
      </c>
      <c r="N8" s="17">
        <f>N2*capex_pct</f>
        <v>0</v>
      </c>
      <c r="O8" s="1"/>
      <c r="P8" s="1"/>
      <c r="Q8" s="1"/>
    </row>
    <row r="9" spans="1:17" ht="15.6" customHeight="1" x14ac:dyDescent="0.3">
      <c r="A9" s="2" t="s">
        <v>50</v>
      </c>
      <c r="B9" s="17">
        <f>B5+B6-B7-B8</f>
        <v>67193000000</v>
      </c>
      <c r="C9" s="17">
        <f>C5+C6-C7-C8</f>
        <v>58996000000</v>
      </c>
      <c r="D9" s="17">
        <f>D5+D6-D7-D8</f>
        <v>75506000000</v>
      </c>
      <c r="E9" s="17">
        <f>E5+E6-E7-E8</f>
        <v>90278000000</v>
      </c>
      <c r="F9" s="17"/>
      <c r="G9" s="1"/>
      <c r="H9" s="1"/>
      <c r="I9" s="3" t="s">
        <v>49</v>
      </c>
      <c r="J9" s="17">
        <f>J2*nwc_pct</f>
        <v>0</v>
      </c>
      <c r="K9" s="17">
        <f>K2*nwc_pct</f>
        <v>0</v>
      </c>
      <c r="L9" s="17">
        <f>L2*nwc_pct</f>
        <v>0</v>
      </c>
      <c r="M9" s="17">
        <f>M2*nwc_pct</f>
        <v>0</v>
      </c>
      <c r="N9" s="17">
        <f>N2*nwc_pct</f>
        <v>0</v>
      </c>
      <c r="O9" s="1"/>
      <c r="P9" s="1"/>
      <c r="Q9" s="1"/>
    </row>
    <row r="10" spans="1:17" ht="15.6" customHeight="1" x14ac:dyDescent="0.3">
      <c r="A10" s="2" t="s">
        <v>51</v>
      </c>
      <c r="B10" s="24">
        <f>B5/(Raw_FS!B$7-Raw_FS!B$9)</f>
        <v>0.36776833603452752</v>
      </c>
      <c r="C10" s="24">
        <f>C5/(Raw_FS!C$7-Raw_FS!C$9)</f>
        <v>0.35429207297794918</v>
      </c>
      <c r="D10" s="24">
        <f>D5/(Raw_FS!D$7-Raw_FS!D$9)</f>
        <v>0.36291016046355462</v>
      </c>
      <c r="E10" s="24">
        <f>E5/(Raw_FS!E$7-Raw_FS!E$9)</f>
        <v>0.3538925906942309</v>
      </c>
      <c r="F10" s="17"/>
      <c r="G10" s="1"/>
      <c r="H10" s="1"/>
      <c r="I10" s="2" t="s">
        <v>50</v>
      </c>
      <c r="J10" s="17">
        <f>J6+J7-J8-J9</f>
        <v>0</v>
      </c>
      <c r="K10" s="17">
        <f>K6+K7-K8-K9</f>
        <v>0</v>
      </c>
      <c r="L10" s="17">
        <f>L6+L7-L8-L9</f>
        <v>0</v>
      </c>
      <c r="M10" s="17">
        <f>M6+M7-M8-M9</f>
        <v>0</v>
      </c>
      <c r="N10" s="17">
        <f>N6+N7-N8-N9</f>
        <v>0</v>
      </c>
      <c r="O10" s="1"/>
      <c r="P10" s="1"/>
      <c r="Q10" s="1"/>
    </row>
    <row r="11" spans="1:17" ht="15.6" customHeight="1" x14ac:dyDescent="0.3">
      <c r="A11" s="2" t="s">
        <v>52</v>
      </c>
      <c r="B11" s="24">
        <f>B9/B2</f>
        <v>0.17183372332399913</v>
      </c>
      <c r="C11" s="24">
        <f>C9/C2</f>
        <v>0.15392201625422336</v>
      </c>
      <c r="D11" s="24">
        <f>D9/D2</f>
        <v>0.19148018908117101</v>
      </c>
      <c r="E11" s="24">
        <f>E9/E2</f>
        <v>0.24678459448303386</v>
      </c>
      <c r="F11" s="17"/>
      <c r="G11" s="1"/>
      <c r="H11" s="1"/>
      <c r="I11" s="2" t="s">
        <v>53</v>
      </c>
      <c r="J11" s="17">
        <f>1/(1+wacc)^(COLUMN()-COLUMN($J$1)+1)</f>
        <v>1</v>
      </c>
      <c r="K11" s="17">
        <f>1/(1+wacc)^(COLUMN()-COLUMN($J$1)+1)</f>
        <v>1</v>
      </c>
      <c r="L11" s="17">
        <f>1/(1+wacc)^(COLUMN()-COLUMN($J$1)+1)</f>
        <v>1</v>
      </c>
      <c r="M11" s="17">
        <f>1/(1+wacc)^(COLUMN()-COLUMN($J$1)+1)</f>
        <v>1</v>
      </c>
      <c r="N11" s="17">
        <f>1/(1+wacc)^(COLUMN()-COLUMN($J$1)+1)</f>
        <v>1</v>
      </c>
      <c r="O11" s="1"/>
      <c r="P11" s="1"/>
      <c r="Q11" s="1"/>
    </row>
    <row r="12" spans="1:17" ht="15.6" customHeight="1" x14ac:dyDescent="0.3">
      <c r="A12" s="2" t="s">
        <v>54</v>
      </c>
      <c r="B12" s="25">
        <f>(B2/E2)^(1/4)-1</f>
        <v>1.6805617355994729E-2</v>
      </c>
      <c r="C12" s="17"/>
      <c r="D12" s="17"/>
      <c r="E12" s="17"/>
      <c r="F12" s="17"/>
      <c r="G12" s="1"/>
      <c r="H12" s="1"/>
      <c r="I12" s="5" t="s">
        <v>55</v>
      </c>
      <c r="J12" s="18">
        <f>J10*J11</f>
        <v>0</v>
      </c>
      <c r="K12" s="18">
        <f>K10*K11</f>
        <v>0</v>
      </c>
      <c r="L12" s="18">
        <f>L10*L11</f>
        <v>0</v>
      </c>
      <c r="M12" s="18">
        <f>M10*M11</f>
        <v>0</v>
      </c>
      <c r="N12" s="18">
        <f>N10*N11</f>
        <v>0</v>
      </c>
      <c r="O12" s="1"/>
      <c r="P12" s="1"/>
      <c r="Q12" s="1"/>
    </row>
    <row r="13" spans="1:17" ht="15.6" customHeight="1" x14ac:dyDescent="0.3">
      <c r="A13" s="1"/>
      <c r="B13" s="1"/>
      <c r="C13" s="1"/>
      <c r="D13" s="1"/>
      <c r="E13" s="1"/>
      <c r="F13" s="1"/>
      <c r="G13" s="1"/>
      <c r="H13" s="1"/>
      <c r="I13" s="15" t="s">
        <v>56</v>
      </c>
      <c r="J13" s="19">
        <f>N$10*(1+Inputs!B16)</f>
        <v>0</v>
      </c>
      <c r="K13" s="1"/>
      <c r="L13" s="1"/>
      <c r="M13" s="1"/>
      <c r="N13" s="1"/>
      <c r="O13" s="1"/>
      <c r="P13" s="1"/>
      <c r="Q13" s="1"/>
    </row>
    <row r="14" spans="1:17" ht="15.6" customHeight="1" x14ac:dyDescent="0.3">
      <c r="A14" s="1"/>
      <c r="B14" s="1"/>
      <c r="C14" s="1"/>
      <c r="D14" s="1"/>
      <c r="F14" s="11"/>
      <c r="I14" s="12" t="s">
        <v>57</v>
      </c>
      <c r="J14" s="20" t="e">
        <f>J13/(wacc-Inputs!B16)</f>
        <v>#DIV/0!</v>
      </c>
      <c r="K14" s="1"/>
      <c r="L14" s="1"/>
      <c r="M14" s="1"/>
      <c r="N14" s="1"/>
      <c r="O14" s="1"/>
      <c r="P14" s="1"/>
      <c r="Q14" s="1"/>
    </row>
    <row r="15" spans="1:17" ht="16.2" customHeight="1" thickBot="1" x14ac:dyDescent="0.35">
      <c r="A15" s="1"/>
      <c r="B15" s="1"/>
      <c r="C15" s="1"/>
      <c r="D15" s="1"/>
      <c r="F15" s="11"/>
      <c r="I15" s="12" t="s">
        <v>53</v>
      </c>
      <c r="J15" s="10">
        <f>1/(1+wacc)^(COLUMN(N$1)-COLUMN($J$1)+1)</f>
        <v>1</v>
      </c>
      <c r="K15" s="1"/>
      <c r="L15" s="1"/>
      <c r="M15" s="1"/>
      <c r="N15" s="1"/>
      <c r="O15" s="1"/>
      <c r="P15" s="1"/>
      <c r="Q15" s="1"/>
    </row>
    <row r="16" spans="1:17" ht="16.2" customHeight="1" x14ac:dyDescent="0.35">
      <c r="A16" s="1"/>
      <c r="B16" s="1"/>
      <c r="C16" s="1"/>
      <c r="D16" s="1"/>
      <c r="F16" s="11"/>
      <c r="I16" s="16" t="s">
        <v>58</v>
      </c>
      <c r="J16" s="21" t="e">
        <f>J14*J15</f>
        <v>#DIV/0!</v>
      </c>
      <c r="K16" s="1"/>
      <c r="L16" s="1"/>
      <c r="M16" s="1"/>
      <c r="N16" s="1"/>
      <c r="O16" s="1"/>
      <c r="P16" s="1"/>
      <c r="Q16" s="1"/>
    </row>
    <row r="17" spans="1:17" ht="15.6" customHeight="1" x14ac:dyDescent="0.3">
      <c r="A17" s="1"/>
      <c r="B17" s="1"/>
      <c r="C17" s="1"/>
      <c r="D17" s="1"/>
      <c r="F17" s="1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customHeight="1" x14ac:dyDescent="0.3">
      <c r="A18" s="2" t="s">
        <v>59</v>
      </c>
      <c r="B18" s="1">
        <f>SUM(J12:N12)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customHeight="1" x14ac:dyDescent="0.3">
      <c r="A19" s="2" t="s">
        <v>60</v>
      </c>
      <c r="B19" s="1" t="e">
        <f>pv_fcff_total+J16</f>
        <v>#DIV/0!</v>
      </c>
      <c r="C19" s="1"/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customHeight="1" x14ac:dyDescent="0.3">
      <c r="A20" s="2" t="s">
        <v>61</v>
      </c>
      <c r="B20" s="1">
        <f>Raw_FS!B$17-Raw_FS!B$16</f>
        <v>0</v>
      </c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customHeight="1" x14ac:dyDescent="0.3">
      <c r="A21" s="2" t="s">
        <v>62</v>
      </c>
      <c r="B21" s="1" t="e">
        <f>ev-net_debt</f>
        <v>#DIV/0!</v>
      </c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customHeight="1" x14ac:dyDescent="0.3">
      <c r="A22" s="2" t="s">
        <v>63</v>
      </c>
      <c r="B22" s="1">
        <f>Inputs!B3</f>
        <v>0</v>
      </c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customHeight="1" x14ac:dyDescent="0.3">
      <c r="A23" s="2" t="s">
        <v>64</v>
      </c>
      <c r="B23" s="1" t="e">
        <f>equity_value/shares_out</f>
        <v>#DIV/0!</v>
      </c>
      <c r="C23" s="1"/>
      <c r="D23" s="1"/>
      <c r="E23" s="1"/>
      <c r="F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customHeight="1" x14ac:dyDescent="0.3">
      <c r="A24" s="2" t="s">
        <v>65</v>
      </c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customHeight="1" x14ac:dyDescent="0.3">
      <c r="A25" s="2" t="s">
        <v>66</v>
      </c>
      <c r="B25" s="1" t="e">
        <f>implied_price/current_price - 1</f>
        <v>#DIV/0!</v>
      </c>
      <c r="C25" s="1"/>
      <c r="D25" s="1"/>
      <c r="E25" s="1"/>
      <c r="F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customHeight="1" x14ac:dyDescent="0.3">
      <c r="A26" s="1"/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6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6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6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6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6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6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6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6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6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6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6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6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6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6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6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6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6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6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6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6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6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6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6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6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6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6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6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6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6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6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6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6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6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6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6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6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6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6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6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6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6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6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6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6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6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6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6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6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6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6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6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6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6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6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6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6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6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6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6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6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6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6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6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6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6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6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6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6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6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6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6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6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6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6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6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6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6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6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6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6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6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6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6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6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6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6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6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6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6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6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6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6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6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6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6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6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6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6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6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6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="130" zoomScaleNormal="130" workbookViewId="0">
      <selection activeCell="B3" sqref="B3"/>
    </sheetView>
  </sheetViews>
  <sheetFormatPr defaultRowHeight="14.4" x14ac:dyDescent="0.3"/>
  <cols>
    <col min="1" max="1" width="18.6640625" bestFit="1" customWidth="1"/>
  </cols>
  <sheetData>
    <row r="1" spans="1:8" ht="15.6" customHeight="1" x14ac:dyDescent="0.3">
      <c r="A1" s="2" t="s">
        <v>67</v>
      </c>
      <c r="B1" s="1" t="e">
        <f>implied_price</f>
        <v>#DIV/0!</v>
      </c>
      <c r="C1" s="1"/>
      <c r="D1" s="1"/>
      <c r="E1" s="1"/>
      <c r="F1" s="1"/>
      <c r="G1" s="1"/>
      <c r="H1" s="1"/>
    </row>
    <row r="2" spans="1:8" ht="15.6" customHeight="1" x14ac:dyDescent="0.3">
      <c r="A2" s="2" t="s">
        <v>65</v>
      </c>
      <c r="B2" s="1"/>
      <c r="C2" s="1"/>
      <c r="D2" s="1"/>
      <c r="E2" s="1"/>
      <c r="F2" s="1"/>
      <c r="G2" s="1"/>
      <c r="H2" s="1"/>
    </row>
    <row r="3" spans="1:8" ht="15.6" customHeight="1" x14ac:dyDescent="0.3">
      <c r="A3" s="2" t="s">
        <v>68</v>
      </c>
      <c r="B3" s="1" t="e">
        <f>upside_pct</f>
        <v>#DIV/0!</v>
      </c>
      <c r="C3" s="1"/>
      <c r="D3" s="1"/>
      <c r="E3" s="1"/>
      <c r="F3" s="1"/>
      <c r="G3" s="1"/>
      <c r="H3" s="1"/>
    </row>
    <row r="4" spans="1:8" ht="15.6" customHeight="1" x14ac:dyDescent="0.3">
      <c r="A4" s="2" t="s">
        <v>18</v>
      </c>
      <c r="B4" s="1">
        <f>wacc</f>
        <v>0</v>
      </c>
      <c r="C4" s="1"/>
      <c r="D4" s="1"/>
      <c r="E4" s="1"/>
      <c r="F4" s="1"/>
      <c r="G4" s="1"/>
      <c r="H4" s="1"/>
    </row>
    <row r="5" spans="1:8" ht="15.6" customHeight="1" x14ac:dyDescent="0.3">
      <c r="A5" s="2" t="s">
        <v>69</v>
      </c>
      <c r="B5" s="1">
        <f>Inputs!B16</f>
        <v>0</v>
      </c>
      <c r="C5" s="1"/>
      <c r="D5" s="1"/>
      <c r="E5" s="1"/>
      <c r="F5" s="1"/>
      <c r="G5" s="1"/>
      <c r="H5" s="1"/>
    </row>
    <row r="6" spans="1:8" ht="15.6" customHeight="1" x14ac:dyDescent="0.3">
      <c r="A6" s="2" t="s">
        <v>70</v>
      </c>
      <c r="B6" s="1"/>
      <c r="C6" s="1"/>
      <c r="D6" s="1"/>
      <c r="E6" s="1"/>
      <c r="F6" s="1"/>
      <c r="G6" s="1"/>
      <c r="H6" s="1"/>
    </row>
    <row r="7" spans="1:8" ht="15.6" customHeight="1" x14ac:dyDescent="0.3">
      <c r="A7" s="2" t="s">
        <v>71</v>
      </c>
      <c r="B7" s="1">
        <f>Inputs!B18</f>
        <v>0</v>
      </c>
      <c r="C7" s="1"/>
      <c r="D7" s="1"/>
      <c r="E7" s="1"/>
      <c r="F7" s="1"/>
      <c r="G7" s="1"/>
      <c r="H7" s="1"/>
    </row>
    <row r="8" spans="1:8" ht="15.6" customHeight="1" x14ac:dyDescent="0.3">
      <c r="A8" s="1"/>
      <c r="B8" s="1"/>
      <c r="C8" s="1"/>
      <c r="D8" s="1"/>
      <c r="E8" s="1"/>
      <c r="F8" s="1"/>
      <c r="G8" s="1"/>
      <c r="H8" s="1"/>
    </row>
    <row r="9" spans="1:8" ht="15.6" customHeight="1" x14ac:dyDescent="0.3">
      <c r="A9" s="1"/>
      <c r="B9" s="1"/>
      <c r="C9" s="1"/>
      <c r="D9" s="1"/>
      <c r="E9" s="1"/>
      <c r="F9" s="1"/>
      <c r="G9" s="1"/>
      <c r="H9" s="1"/>
    </row>
    <row r="10" spans="1:8" ht="15.6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5.6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5.6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5.6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5.6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5.6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5.6" customHeight="1" x14ac:dyDescent="0.3">
      <c r="A16" s="1"/>
      <c r="B16" s="1"/>
      <c r="C16" s="1"/>
      <c r="D16" s="1"/>
      <c r="E16" s="1"/>
      <c r="F16" s="1"/>
      <c r="G16" s="1"/>
      <c r="H16" s="1"/>
    </row>
    <row r="17" spans="1:8" ht="15.6" customHeight="1" x14ac:dyDescent="0.3">
      <c r="A17" s="1"/>
      <c r="B17" s="1"/>
      <c r="C17" s="1"/>
      <c r="D17" s="1"/>
      <c r="E17" s="1"/>
      <c r="F17" s="1"/>
      <c r="G17" s="1"/>
      <c r="H17" s="1"/>
    </row>
    <row r="18" spans="1:8" ht="15.6" customHeight="1" x14ac:dyDescent="0.3">
      <c r="A18" s="1"/>
      <c r="B18" s="1"/>
      <c r="C18" s="1"/>
      <c r="D18" s="1"/>
      <c r="E18" s="1"/>
      <c r="F18" s="1"/>
      <c r="G18" s="1"/>
      <c r="H18" s="1"/>
    </row>
    <row r="19" spans="1:8" ht="15.6" customHeight="1" x14ac:dyDescent="0.3">
      <c r="A19" s="1"/>
      <c r="B19" s="1"/>
      <c r="C19" s="1"/>
      <c r="D19" s="1"/>
      <c r="E19" s="1"/>
      <c r="F19" s="1"/>
      <c r="G19" s="1"/>
      <c r="H19" s="1"/>
    </row>
    <row r="20" spans="1:8" ht="15.6" customHeight="1" x14ac:dyDescent="0.3">
      <c r="A20" s="1"/>
      <c r="B20" s="1"/>
      <c r="C20" s="1"/>
      <c r="D20" s="1"/>
      <c r="E20" s="1"/>
      <c r="F20" s="1"/>
      <c r="G20" s="1"/>
      <c r="H20" s="1"/>
    </row>
    <row r="21" spans="1:8" ht="15.6" customHeight="1" x14ac:dyDescent="0.3">
      <c r="A21" s="1"/>
      <c r="B21" s="1"/>
      <c r="C21" s="1"/>
      <c r="D21" s="1"/>
      <c r="E21" s="1"/>
      <c r="F21" s="1"/>
      <c r="G21" s="1"/>
      <c r="H21" s="1"/>
    </row>
    <row r="22" spans="1:8" ht="15.6" customHeight="1" x14ac:dyDescent="0.3">
      <c r="A22" s="1"/>
      <c r="B22" s="1"/>
      <c r="C22" s="1"/>
      <c r="D22" s="1"/>
      <c r="E22" s="1"/>
      <c r="F22" s="1"/>
      <c r="G22" s="1"/>
      <c r="H22" s="1"/>
    </row>
  </sheetData>
  <conditionalFormatting sqref="B3">
    <cfRule type="expression" dxfId="1" priority="1">
      <formula>$B$3&lt;0</formula>
    </cfRule>
    <cfRule type="expression" dxfId="0" priority="2">
      <formula>$B$3&gt;0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Inputs</vt:lpstr>
      <vt:lpstr>Raw_FS</vt:lpstr>
      <vt:lpstr>DCF</vt:lpstr>
      <vt:lpstr>Output</vt:lpstr>
      <vt:lpstr>capex_pct</vt:lpstr>
      <vt:lpstr>current_price</vt:lpstr>
      <vt:lpstr>dep_pct</vt:lpstr>
      <vt:lpstr>ebit_target</vt:lpstr>
      <vt:lpstr>equity_value</vt:lpstr>
      <vt:lpstr>ev</vt:lpstr>
      <vt:lpstr>forecast_horizon</vt:lpstr>
      <vt:lpstr>implied_price</vt:lpstr>
      <vt:lpstr>net_debt</vt:lpstr>
      <vt:lpstr>nwc_pct</vt:lpstr>
      <vt:lpstr>pv_fcff_total</vt:lpstr>
      <vt:lpstr>sales_cagr</vt:lpstr>
      <vt:lpstr>shares_out</vt:lpstr>
      <vt:lpstr>tax_rate</vt:lpstr>
      <vt:lpstr>upside_pct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2015-06-05T18:17:20Z</dcterms:created>
  <dcterms:modified xsi:type="dcterms:W3CDTF">2025-07-11T20:47:25Z</dcterms:modified>
</cp:coreProperties>
</file>